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9060" tabRatio="716" activeTab="0"/>
  </bookViews>
  <sheets>
    <sheet name="бланк" sheetId="1" r:id="rId1"/>
    <sheet name="титул" sheetId="2" r:id="rId2"/>
    <sheet name="211" sheetId="3" r:id="rId3"/>
    <sheet name="211-213" sheetId="4" r:id="rId4"/>
    <sheet name="221-223" sheetId="5" r:id="rId5"/>
    <sheet name="223-225" sheetId="6" r:id="rId6"/>
    <sheet name="225-226" sheetId="7" r:id="rId7"/>
    <sheet name="262-310" sheetId="8" r:id="rId8"/>
    <sheet name="310-340" sheetId="9" r:id="rId9"/>
    <sheet name="340" sheetId="10" r:id="rId10"/>
  </sheets>
  <externalReferences>
    <externalReference r:id="rId13"/>
    <externalReference r:id="rId14"/>
  </externalReferences>
  <definedNames>
    <definedName name="_xlnm.Print_Area" localSheetId="2">'211'!$A$1:$F$40</definedName>
    <definedName name="_xlnm.Print_Area" localSheetId="3">'211-213'!$A$1:$H$35</definedName>
    <definedName name="_xlnm.Print_Area" localSheetId="4">'221-223'!$A$1:$H$41</definedName>
    <definedName name="_xlnm.Print_Area" localSheetId="5">'223-225'!$A$1:$D$38</definedName>
    <definedName name="_xlnm.Print_Area" localSheetId="6">'225-226'!$A$1:$D$30</definedName>
    <definedName name="_xlnm.Print_Area" localSheetId="8">'310-340'!$A$1:$H$49</definedName>
    <definedName name="_xlnm.Print_Area" localSheetId="9">'340'!$A$1:$D$26</definedName>
    <definedName name="_xlnm.Print_Area" localSheetId="0">'бланк'!$A$1:$O$76</definedName>
    <definedName name="_xlnm.Print_Area" localSheetId="1">'титул'!$A$1:$G$43</definedName>
  </definedNames>
  <calcPr fullCalcOnLoad="1"/>
</workbook>
</file>

<file path=xl/sharedStrings.xml><?xml version="1.0" encoding="utf-8"?>
<sst xmlns="http://schemas.openxmlformats.org/spreadsheetml/2006/main" count="657" uniqueCount="382">
  <si>
    <t xml:space="preserve">*- если в течение года предусматривается изменение кубатуры и площади строений, то кубатура </t>
  </si>
  <si>
    <t>и площадь на конец года показываются в знаменателе</t>
  </si>
  <si>
    <t>(в рублях)</t>
  </si>
  <si>
    <t>Исчислено учреждением</t>
  </si>
  <si>
    <t>средняя ставка</t>
  </si>
  <si>
    <t>оплата труда в месяц</t>
  </si>
  <si>
    <t>на конец года</t>
  </si>
  <si>
    <t xml:space="preserve">Наименование кода статьи </t>
  </si>
  <si>
    <t>Расчет - обоснование</t>
  </si>
  <si>
    <t xml:space="preserve">Исчислено учреждением </t>
  </si>
  <si>
    <t xml:space="preserve"> ИТОГО по ст.212</t>
  </si>
  <si>
    <t>Наименование услуг</t>
  </si>
  <si>
    <t>Договор, расчет-обоснование</t>
  </si>
  <si>
    <t xml:space="preserve">Абонентская плата </t>
  </si>
  <si>
    <t xml:space="preserve">основной </t>
  </si>
  <si>
    <t>спаренный</t>
  </si>
  <si>
    <t xml:space="preserve">повременный </t>
  </si>
  <si>
    <t>межгород</t>
  </si>
  <si>
    <t>ИТОГО</t>
  </si>
  <si>
    <t>Цель командировки</t>
  </si>
  <si>
    <t>Расчет-обоснование</t>
  </si>
  <si>
    <t>оплата отопления помещения</t>
  </si>
  <si>
    <t>оплата освещения помещения</t>
  </si>
  <si>
    <t>оплата водоснабжения помещения</t>
  </si>
  <si>
    <t xml:space="preserve">ИТОГО </t>
  </si>
  <si>
    <t xml:space="preserve">Отопление и горячее </t>
  </si>
  <si>
    <t>водоснабжение</t>
  </si>
  <si>
    <t xml:space="preserve"> "Оплата отопления помещения"                                            </t>
  </si>
  <si>
    <t xml:space="preserve"> "Оплата освещения помещения"                                            </t>
  </si>
  <si>
    <t>Электроэнергия</t>
  </si>
  <si>
    <t xml:space="preserve"> "Оплата водоснабжения помещения"                                            </t>
  </si>
  <si>
    <t xml:space="preserve">Водоснабжение </t>
  </si>
  <si>
    <t xml:space="preserve">Водоотведение </t>
  </si>
  <si>
    <t>Услуги СЭС</t>
  </si>
  <si>
    <t>Вывоз мусора</t>
  </si>
  <si>
    <t>Текущий выполненный другими организациями:</t>
  </si>
  <si>
    <t>Ремонт оборудования</t>
  </si>
  <si>
    <t>Замеры сопротивления</t>
  </si>
  <si>
    <t>Пропитка черд.помещений</t>
  </si>
  <si>
    <t>Перезарядка огнетушителей</t>
  </si>
  <si>
    <t>Расходы по проживанию в командировках</t>
  </si>
  <si>
    <t>Расходы по аттестации, лицензированию учреждения</t>
  </si>
  <si>
    <t>Аттестация рабочих мест</t>
  </si>
  <si>
    <t>Подписка</t>
  </si>
  <si>
    <t>Оплата за курсы</t>
  </si>
  <si>
    <t>Мед.осмотр</t>
  </si>
  <si>
    <t>Прочие услуги</t>
  </si>
  <si>
    <t>Налог на имущество</t>
  </si>
  <si>
    <t>Прочие расходы</t>
  </si>
  <si>
    <t xml:space="preserve">  "Приобретение материалов"  -  мебель</t>
  </si>
  <si>
    <t>цена</t>
  </si>
  <si>
    <t>кол-во</t>
  </si>
  <si>
    <t>сумма</t>
  </si>
  <si>
    <t xml:space="preserve">  "Приобретение оборудования длительного пользования" </t>
  </si>
  <si>
    <t xml:space="preserve">Исчислено </t>
  </si>
  <si>
    <t xml:space="preserve">  "Приобретение наглядных и учебных пособий, периодических изданий,  </t>
  </si>
  <si>
    <t xml:space="preserve">                                                     учебников и другого инвентаря длительного пользования" </t>
  </si>
  <si>
    <t xml:space="preserve">  "Медикаменты и перевязочные материалы"  </t>
  </si>
  <si>
    <t>Наименование расходов</t>
  </si>
  <si>
    <t>Норма, потребность</t>
  </si>
  <si>
    <t>Медикаменты</t>
  </si>
  <si>
    <t xml:space="preserve">  "Мягкий инвентарь"  </t>
  </si>
  <si>
    <t>Шторы</t>
  </si>
  <si>
    <t>Запасные части к оборудованию и технике</t>
  </si>
  <si>
    <t>согласно заявки</t>
  </si>
  <si>
    <t>Огнетушители</t>
  </si>
  <si>
    <t>Бланки</t>
  </si>
  <si>
    <t>Хозяйственные расходы</t>
  </si>
  <si>
    <t xml:space="preserve">  "Приобретение материалов, сроком службы менее 12 месяцев" </t>
  </si>
  <si>
    <t>Инвентарь, инструменты</t>
  </si>
  <si>
    <t>Канцелярские расходы</t>
  </si>
  <si>
    <t>Посуда</t>
  </si>
  <si>
    <t>Приобретение дров</t>
  </si>
  <si>
    <t>Материалы для ремонта</t>
  </si>
  <si>
    <t>Оплата труда и начисления</t>
  </si>
  <si>
    <t>в том числе</t>
  </si>
  <si>
    <t>Приобретение услуг</t>
  </si>
  <si>
    <t>Увеличение стоимости ОС</t>
  </si>
  <si>
    <t>Увеличение стоимости МЗ</t>
  </si>
  <si>
    <t>07</t>
  </si>
  <si>
    <t>ИТОГО по ст.221</t>
  </si>
  <si>
    <t xml:space="preserve"> </t>
  </si>
  <si>
    <t>ИТОГО по ст.222</t>
  </si>
  <si>
    <t>ИТОГО по ст.225</t>
  </si>
  <si>
    <t>ИТОГО по ст.226</t>
  </si>
  <si>
    <t>ИТОГО по ст.290</t>
  </si>
  <si>
    <t>ИТОГО по ст.310</t>
  </si>
  <si>
    <t>ИТОГО по ст. 340</t>
  </si>
  <si>
    <t>Полотенце</t>
  </si>
  <si>
    <t>02</t>
  </si>
  <si>
    <t>Руководитель</t>
  </si>
  <si>
    <t>Исполнитель</t>
  </si>
  <si>
    <t>классов</t>
  </si>
  <si>
    <t>учащихся</t>
  </si>
  <si>
    <t>1 классы</t>
  </si>
  <si>
    <t>2 классы</t>
  </si>
  <si>
    <t>3 классы</t>
  </si>
  <si>
    <t>4 классы</t>
  </si>
  <si>
    <t>ИТОГО по нач.звену</t>
  </si>
  <si>
    <t>5 классы</t>
  </si>
  <si>
    <t>6 классы</t>
  </si>
  <si>
    <t>7 классы</t>
  </si>
  <si>
    <t>8 классы</t>
  </si>
  <si>
    <t>9 классы</t>
  </si>
  <si>
    <t>ИТОГО по сред.звену</t>
  </si>
  <si>
    <t>10 классы</t>
  </si>
  <si>
    <t>11 классы</t>
  </si>
  <si>
    <t>ИТОГО по стар.звену</t>
  </si>
  <si>
    <t>В С Е Г О по ШКОЛЕ</t>
  </si>
  <si>
    <t>ОБЩИЕ СВЕДЕНИЯ :</t>
  </si>
  <si>
    <t xml:space="preserve">количество классов и учащихся </t>
  </si>
  <si>
    <t xml:space="preserve">                                                                             ( полное наименование учреждения)</t>
  </si>
  <si>
    <t>среднегодовое</t>
  </si>
  <si>
    <t>х</t>
  </si>
  <si>
    <t xml:space="preserve">1. Общая кубатура всех строений по наружному обмеру*  </t>
  </si>
  <si>
    <t>кв.м.</t>
  </si>
  <si>
    <t xml:space="preserve">2. Внутренняя площадь зданий   </t>
  </si>
  <si>
    <t xml:space="preserve">3.  Имеется ли водопровод  </t>
  </si>
  <si>
    <t xml:space="preserve">    канализация</t>
  </si>
  <si>
    <t xml:space="preserve">4.  Отопление: система отопления, </t>
  </si>
  <si>
    <t xml:space="preserve">     кол-во печей</t>
  </si>
  <si>
    <t>5.  Количество классных комнат и их площадь</t>
  </si>
  <si>
    <t>исчислено учреждением</t>
  </si>
  <si>
    <t>число ставок</t>
  </si>
  <si>
    <t>на начало года</t>
  </si>
  <si>
    <t>ФОТ</t>
  </si>
  <si>
    <t>наименование должностей</t>
  </si>
  <si>
    <t>Директор</t>
  </si>
  <si>
    <t>Заместитель директора</t>
  </si>
  <si>
    <t>Заведующий библиотекой</t>
  </si>
  <si>
    <t>Главный бухгалтер</t>
  </si>
  <si>
    <t>Учитель</t>
  </si>
  <si>
    <t>Социальный педагог</t>
  </si>
  <si>
    <t>Преподаватель-орган.ОБЖ</t>
  </si>
  <si>
    <t>Учитель-логопед</t>
  </si>
  <si>
    <t>Педагог доп.образования</t>
  </si>
  <si>
    <t>Итого I раздел в месяц</t>
  </si>
  <si>
    <t>Библиотекарь</t>
  </si>
  <si>
    <t>Секретарь, документовед</t>
  </si>
  <si>
    <t>Инженер</t>
  </si>
  <si>
    <t>I. Руководящий и педагогический персонал</t>
  </si>
  <si>
    <t>II. Учебно-вспомог. и технический персонал</t>
  </si>
  <si>
    <t>Дворник</t>
  </si>
  <si>
    <t>Уборщик служ.помещений</t>
  </si>
  <si>
    <t>Истопник</t>
  </si>
  <si>
    <t>Итого II раздел в месяц</t>
  </si>
  <si>
    <t>ИТОГО I разд. в год</t>
  </si>
  <si>
    <t>ИТОГО II разд. в год</t>
  </si>
  <si>
    <t>В С Е Г О по I и  II разд.</t>
  </si>
  <si>
    <t>ФОНД СТИМУЛИРОВАНИЯ</t>
  </si>
  <si>
    <t>за телефон:</t>
  </si>
  <si>
    <t>Интернет</t>
  </si>
  <si>
    <t xml:space="preserve">"Текущие и капитальные ремонты инвентаря, автомашин,помещений, зданий и т.д."                                          </t>
  </si>
  <si>
    <t xml:space="preserve">  "Продукты питания"  - молоко</t>
  </si>
  <si>
    <t>Пособие до 3-х лет</t>
  </si>
  <si>
    <t>Суточные в командировке</t>
  </si>
  <si>
    <t xml:space="preserve">            в том числе</t>
  </si>
  <si>
    <t>А) оплата по твердым ставкам :</t>
  </si>
  <si>
    <t>В) дополнительные виды доплат :</t>
  </si>
  <si>
    <t>исчислено учреждением на год</t>
  </si>
  <si>
    <t>Компенсация за неиспользованный отпуск</t>
  </si>
  <si>
    <t>Оплата за работу в праздничные дни</t>
  </si>
  <si>
    <t xml:space="preserve">Прочие </t>
  </si>
  <si>
    <t>ИТОГО по разделу А</t>
  </si>
  <si>
    <t>ИТОГО по разделу В</t>
  </si>
  <si>
    <t>ИТОГО по ст. 213</t>
  </si>
  <si>
    <t>Заработная плата МБ</t>
  </si>
  <si>
    <t>Заработная плата суб.</t>
  </si>
  <si>
    <t>из средств МБ</t>
  </si>
  <si>
    <t>из средств субвенции</t>
  </si>
  <si>
    <t>Питание школьников</t>
  </si>
  <si>
    <t>ИТОГО по ст.262</t>
  </si>
  <si>
    <t xml:space="preserve">в том числе за счёт субвенции </t>
  </si>
  <si>
    <t xml:space="preserve">Руководитель учреждения                                                                         </t>
  </si>
  <si>
    <t>Учебники</t>
  </si>
  <si>
    <t>Скатерть</t>
  </si>
  <si>
    <t>Тюль</t>
  </si>
  <si>
    <t>Спец.одежда</t>
  </si>
  <si>
    <t>Перчатки рабочие</t>
  </si>
  <si>
    <t>Кашкар Е.Ю.</t>
  </si>
  <si>
    <t>нет</t>
  </si>
  <si>
    <t>встроен</t>
  </si>
  <si>
    <t>да</t>
  </si>
  <si>
    <t xml:space="preserve"> (1210,2шк.+190,0сп.зал)</t>
  </si>
  <si>
    <r>
      <t xml:space="preserve">куб.м.- </t>
    </r>
    <r>
      <rPr>
        <i/>
        <sz val="10"/>
        <rFont val="Arial Cyr"/>
        <family val="0"/>
      </rPr>
      <t>1400,2</t>
    </r>
  </si>
  <si>
    <t>Компенсация за проезд в отпуск</t>
  </si>
  <si>
    <t>Педагог-организатор</t>
  </si>
  <si>
    <t>Заведующий хозяйством</t>
  </si>
  <si>
    <t>Рабочий по обс.зд.</t>
  </si>
  <si>
    <t>Повар</t>
  </si>
  <si>
    <t>Льготы по комм.услугам пед.</t>
  </si>
  <si>
    <t>Эксплуатация АПС</t>
  </si>
  <si>
    <t>согласно расчёта</t>
  </si>
  <si>
    <t>УТВЕРЖДАЮ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</si>
  <si>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</si>
  <si>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</si>
  <si>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</si>
  <si>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</si>
  <si>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</si>
  <si>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</si>
  <si>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</si>
  <si>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</si>
  <si>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</si>
  <si>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</si>
  <si>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</si>
  <si>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 руб</t>
  </si>
  <si>
    <t>по ОКЕИ</t>
  </si>
  <si>
    <t>по ОКВ</t>
  </si>
  <si>
    <t>Наименование показателя</t>
  </si>
  <si>
    <t>раздела</t>
  </si>
  <si>
    <t>подраз-</t>
  </si>
  <si>
    <t>целевой статьи</t>
  </si>
  <si>
    <t>вида</t>
  </si>
  <si>
    <t>КОСГУ</t>
  </si>
  <si>
    <t>дела</t>
  </si>
  <si>
    <t>расходов</t>
  </si>
  <si>
    <t>Всего</t>
  </si>
  <si>
    <t>(уполномоченное лицо)</t>
  </si>
  <si>
    <t>Номер страницы</t>
  </si>
  <si>
    <t>Всего страниц</t>
  </si>
  <si>
    <t>Руководитель планово-</t>
  </si>
  <si>
    <t>______________________</t>
  </si>
  <si>
    <t>финансовой службы</t>
  </si>
  <si>
    <t xml:space="preserve">код по бюджетной классификации </t>
  </si>
  <si>
    <t>Код строки</t>
  </si>
  <si>
    <t>Районный комитет образования</t>
  </si>
  <si>
    <t>10</t>
  </si>
  <si>
    <t>03</t>
  </si>
  <si>
    <t>Социальное обеспечение</t>
  </si>
  <si>
    <t>04</t>
  </si>
  <si>
    <t xml:space="preserve">         Попкова С.А.</t>
  </si>
  <si>
    <t>(должность)                                                (подпись)                            (расшифровка подписи)</t>
  </si>
  <si>
    <t>директор</t>
  </si>
  <si>
    <t xml:space="preserve">      Е.Ю.Кашкар</t>
  </si>
  <si>
    <t>(расшифровка подписи)</t>
  </si>
  <si>
    <t xml:space="preserve">                     (подпись)                                         </t>
  </si>
  <si>
    <t>( подпись)</t>
  </si>
  <si>
    <t>Председатель РКО</t>
  </si>
  <si>
    <t xml:space="preserve">    (наименование главного распорядителя бюджетных средств)</t>
  </si>
  <si>
    <t>(наименование должности лица, утверждающего бюджетную смету)</t>
  </si>
  <si>
    <t>О.М.Волосникова</t>
  </si>
  <si>
    <t xml:space="preserve">                    (подпись)                                       (расшифровка подписи)</t>
  </si>
  <si>
    <t>Исчислено</t>
  </si>
  <si>
    <t>Утверждено</t>
  </si>
  <si>
    <r>
      <t xml:space="preserve">сумма </t>
    </r>
    <r>
      <rPr>
        <sz val="9"/>
        <rFont val="Times New Roman"/>
        <family val="1"/>
      </rPr>
      <t>(в рублях)</t>
    </r>
  </si>
  <si>
    <t xml:space="preserve">           муниципальный</t>
  </si>
  <si>
    <t>Группы для дошк.возраста</t>
  </si>
  <si>
    <t>Млад.воспитатель</t>
  </si>
  <si>
    <t>Машинист по стир.белья</t>
  </si>
  <si>
    <t>Попкова С.А.</t>
  </si>
  <si>
    <t>наименование выплат</t>
  </si>
  <si>
    <t>ВСЕГО  по ст.211</t>
  </si>
  <si>
    <t>оплата труда - всего</t>
  </si>
  <si>
    <t>Наименование  выплат</t>
  </si>
  <si>
    <t>за счет средств МБ</t>
  </si>
  <si>
    <t>за счет средств субвенции</t>
  </si>
  <si>
    <t>наименование предметов</t>
  </si>
  <si>
    <t>Замещение на период отпуска ( уборщик,сторож,рабочий,завхоз)</t>
  </si>
  <si>
    <t>Содержание помещений</t>
  </si>
  <si>
    <t>Обслуживание учеб.программ</t>
  </si>
  <si>
    <t>Противогазы ОБЖ</t>
  </si>
  <si>
    <t>Элек.мясорубка</t>
  </si>
  <si>
    <t>Карнизы</t>
  </si>
  <si>
    <t>Инвентарь</t>
  </si>
  <si>
    <t>Курсы,командировки</t>
  </si>
  <si>
    <t>оплата труда (субв.)</t>
  </si>
  <si>
    <t>прочие выплаты (субв.)</t>
  </si>
  <si>
    <t>прочие выплаты (льготы)</t>
  </si>
  <si>
    <t>начисления на оплату труда (субв.)</t>
  </si>
  <si>
    <t>услуги  связи (субв.)</t>
  </si>
  <si>
    <t>транспортные услуги (субв.)</t>
  </si>
  <si>
    <t>услуги по содерж.имущества (суб.)</t>
  </si>
  <si>
    <t>прочие услуги (субв.)</t>
  </si>
  <si>
    <t>пособия по социал.помощи (питан)</t>
  </si>
  <si>
    <r>
      <t>Прочие расходы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(субв.)</t>
    </r>
  </si>
  <si>
    <t>Увеличение стоимости ОС (субв.)</t>
  </si>
  <si>
    <t>Увеличение стоимости МЗ (субв.)</t>
  </si>
  <si>
    <t>Увеличение стоимости МЗ (молоко)</t>
  </si>
  <si>
    <t>оплата труда МБ</t>
  </si>
  <si>
    <t>прочие выплаты МБ</t>
  </si>
  <si>
    <t>начисления на оплату труда МБ</t>
  </si>
  <si>
    <t>услуги  связи МБ</t>
  </si>
  <si>
    <t>коммунальные услуги МБ</t>
  </si>
  <si>
    <t>услуги по содерж.имущества МБ</t>
  </si>
  <si>
    <t>прочие услуги МБ</t>
  </si>
  <si>
    <t>Прочие расходы МБ</t>
  </si>
  <si>
    <t>Увеличение стоимости ОС МБ</t>
  </si>
  <si>
    <t>Увеличение стоимости МЗ МБ</t>
  </si>
  <si>
    <t>Передача полномочий по ведению бух.учета</t>
  </si>
  <si>
    <t>род.плата по дошк.гр.</t>
  </si>
  <si>
    <t>Начисление ОТ - 30,2%</t>
  </si>
  <si>
    <t>Кабинет с оснащением</t>
  </si>
  <si>
    <t>Мел, реактивы</t>
  </si>
  <si>
    <t>Эл.чайник</t>
  </si>
  <si>
    <t xml:space="preserve">согласно расчета </t>
  </si>
  <si>
    <t>Доплата воспитателям</t>
  </si>
  <si>
    <t>Молоко для учащихся 1-4 классов</t>
  </si>
  <si>
    <t>Оплата 3-х дней по б/листу</t>
  </si>
  <si>
    <t>Материальная помощь</t>
  </si>
  <si>
    <t>Микроскопы</t>
  </si>
  <si>
    <t>Оплата по договорам ГПХ</t>
  </si>
  <si>
    <t>сотовая связь (Билайн)</t>
  </si>
  <si>
    <t>111</t>
  </si>
  <si>
    <t>112</t>
  </si>
  <si>
    <t>242</t>
  </si>
  <si>
    <t>244</t>
  </si>
  <si>
    <t>851</t>
  </si>
  <si>
    <t>321</t>
  </si>
  <si>
    <t>Прочие материалы (прод.питания)</t>
  </si>
  <si>
    <t>Увеличение стоимости МЗ (внебюджет)</t>
  </si>
  <si>
    <t>МКОУ Сортавальского МР РК Валаамская ООШ</t>
  </si>
  <si>
    <t>МКОУ Сортавальского МР РК</t>
  </si>
  <si>
    <r>
      <t xml:space="preserve">                                                            </t>
    </r>
    <r>
      <rPr>
        <b/>
        <i/>
        <u val="single"/>
        <sz val="11"/>
        <rFont val="Arial Cyr"/>
        <family val="0"/>
      </rPr>
      <t>Валаамская ООШ</t>
    </r>
  </si>
  <si>
    <t>1чел.*57,5 руб.*12 месяцев</t>
  </si>
  <si>
    <t>17чел.*50% *3000руб.</t>
  </si>
  <si>
    <t>в т.ч. за счёт средств субвенции школа</t>
  </si>
  <si>
    <t>Тьютор</t>
  </si>
  <si>
    <t>1900руб.*4чел.</t>
  </si>
  <si>
    <t>500руб.*2 чел.* 14сут.</t>
  </si>
  <si>
    <t>согласно заявки ( расколка дров)</t>
  </si>
  <si>
    <t>150куб.м.*1000руб.</t>
  </si>
  <si>
    <t>согласно расчета</t>
  </si>
  <si>
    <t>коммунальные услуги (ВЦП)</t>
  </si>
  <si>
    <t>БЮДЖЕТНАЯ СМЕТА НА   2015   ГОД</t>
  </si>
  <si>
    <t>РАСЧЁТЫ  К    БЮДЖЕТНОЙ    СМЕТЕ   НА    2015 ГОД</t>
  </si>
  <si>
    <t>на 1 января 2015 года</t>
  </si>
  <si>
    <t>на 1 сентября 2015 года</t>
  </si>
  <si>
    <r>
      <t>Статья   211  "Оплата труда"   на 2015 год</t>
    </r>
    <r>
      <rPr>
        <b/>
        <i/>
        <sz val="12"/>
        <rFont val="Arial Cyr"/>
        <family val="0"/>
      </rPr>
      <t xml:space="preserve"> </t>
    </r>
  </si>
  <si>
    <r>
      <t>Статья   213   "Начисления на оплату труда"   на 2015 год</t>
    </r>
    <r>
      <rPr>
        <b/>
        <i/>
        <sz val="12"/>
        <rFont val="Arial Cyr"/>
        <family val="0"/>
      </rPr>
      <t xml:space="preserve"> </t>
    </r>
  </si>
  <si>
    <t xml:space="preserve">Статья   212   "Прочие   выплаты"   на 2015 год </t>
  </si>
  <si>
    <r>
      <t>Статья   221  "Услуги связи"   на 2015год</t>
    </r>
    <r>
      <rPr>
        <b/>
        <i/>
        <sz val="12"/>
        <color indexed="12"/>
        <rFont val="Arial Cyr"/>
        <family val="0"/>
      </rPr>
      <t xml:space="preserve"> </t>
    </r>
  </si>
  <si>
    <r>
      <t>Статья   222  "Транспортные услуги"   на 2015 год</t>
    </r>
    <r>
      <rPr>
        <b/>
        <i/>
        <sz val="12"/>
        <color indexed="12"/>
        <rFont val="Arial Cyr"/>
        <family val="0"/>
      </rPr>
      <t xml:space="preserve"> </t>
    </r>
  </si>
  <si>
    <r>
      <t>Статья   223  "Оплата коммунальных услуг"   на 2015 год</t>
    </r>
    <r>
      <rPr>
        <b/>
        <i/>
        <sz val="12"/>
        <color indexed="12"/>
        <rFont val="Arial Cyr"/>
        <family val="0"/>
      </rPr>
      <t xml:space="preserve"> </t>
    </r>
  </si>
  <si>
    <r>
      <t>Статья   225  "Услуги по содержанию имущества"   на 2015 год</t>
    </r>
    <r>
      <rPr>
        <b/>
        <i/>
        <sz val="12"/>
        <color indexed="12"/>
        <rFont val="Arial Cyr"/>
        <family val="0"/>
      </rPr>
      <t xml:space="preserve"> </t>
    </r>
  </si>
  <si>
    <r>
      <t>Статья   226   "Прочие услуги"   на 2015 год</t>
    </r>
    <r>
      <rPr>
        <b/>
        <i/>
        <sz val="12"/>
        <color indexed="12"/>
        <rFont val="Arial Cyr"/>
        <family val="0"/>
      </rPr>
      <t xml:space="preserve"> </t>
    </r>
  </si>
  <si>
    <r>
      <t>Статья   262    "Социальные выплаты"   на 2015 год</t>
    </r>
    <r>
      <rPr>
        <b/>
        <i/>
        <sz val="12"/>
        <rFont val="Arial Cyr"/>
        <family val="0"/>
      </rPr>
      <t xml:space="preserve"> </t>
    </r>
  </si>
  <si>
    <r>
      <t>Статья   290    "Прочие расходы"   на 2015 год</t>
    </r>
    <r>
      <rPr>
        <b/>
        <i/>
        <sz val="12"/>
        <rFont val="Arial Cyr"/>
        <family val="0"/>
      </rPr>
      <t xml:space="preserve"> </t>
    </r>
  </si>
  <si>
    <r>
      <t>Статья   310    "Увеличение стоимости основных средств"   на 2015 год</t>
    </r>
    <r>
      <rPr>
        <b/>
        <i/>
        <sz val="12"/>
        <rFont val="Arial Cyr"/>
        <family val="0"/>
      </rPr>
      <t xml:space="preserve"> </t>
    </r>
  </si>
  <si>
    <r>
      <t>Статья 340  "Увеличение стоимости  материал. запасов" на 2015 год</t>
    </r>
    <r>
      <rPr>
        <b/>
        <i/>
        <sz val="12"/>
        <color indexed="12"/>
        <rFont val="Arial Cyr"/>
        <family val="0"/>
      </rPr>
      <t xml:space="preserve"> </t>
    </r>
  </si>
  <si>
    <t>Пособие по сокращению</t>
  </si>
  <si>
    <t>Спорт.инвентарь</t>
  </si>
  <si>
    <t>14сут*2 чел.*250руб.</t>
  </si>
  <si>
    <t>ОАО "Вымпел-Коммуникации" дог.№ 418556126от 30.12.13г. 238,12руб.*12*1,065</t>
  </si>
  <si>
    <t>ОАО"Карельская энергосбытовая компания"дог № 00518 от 30.12.13 г.</t>
  </si>
  <si>
    <t>прогнозные лимиты 2015г.</t>
  </si>
  <si>
    <t xml:space="preserve"> 28000КВт * 6,40руб.*1,08</t>
  </si>
  <si>
    <t>ООО"Профилактика" дог.№ 124/12 от 23.12.2013г. 12624руб.+8400руб.*1,065</t>
  </si>
  <si>
    <t>ОАО "Ростелеком" дог.№ 14014418от 30.12.2013 г.</t>
  </si>
  <si>
    <t>1н * 259,6 руб.*12м *1,065</t>
  </si>
  <si>
    <t>1н * 100 руб.*12м *1,065</t>
  </si>
  <si>
    <t>ГЮУЗ РК "Сортав.район. больница" дог.№ 225 от 30.12.13г.; Пед.28360руб.*1,065; обсл.-17820руб*1,065</t>
  </si>
  <si>
    <t>Изготовление аттестатов</t>
  </si>
  <si>
    <t>ОАО "Кострома" дог.№ 872-03 от 24.12.13г.1190руб.*1,065</t>
  </si>
  <si>
    <t>КРО ВДПО дог.№ 78 от 28.07.14г. 2338руб.*1,065</t>
  </si>
  <si>
    <t>ООО "Электро-Сервис"дог.№14-14 от 01.09.14г</t>
  </si>
  <si>
    <t>ООО "Кондор" дог. № б/н от 01.09.2014г                                     5 чел.*175дн*12,00руб.*1,065</t>
  </si>
  <si>
    <t>Программы</t>
  </si>
  <si>
    <t>90 0 2308</t>
  </si>
  <si>
    <t>90 0 7010</t>
  </si>
  <si>
    <t>гутан а.я.</t>
  </si>
  <si>
    <t>по тариф.</t>
  </si>
  <si>
    <t>з/пл. в месяц</t>
  </si>
  <si>
    <t>гутан т.е.</t>
  </si>
  <si>
    <t>дудкина а.а.</t>
  </si>
  <si>
    <t>красовицкая</t>
  </si>
  <si>
    <t>литун</t>
  </si>
  <si>
    <t>шевченко</t>
  </si>
  <si>
    <t>итого вых.пос.в месяц</t>
  </si>
  <si>
    <t>90 0 4205</t>
  </si>
  <si>
    <t>90 0 4204</t>
  </si>
  <si>
    <t>Приказ РКО № 241 от 15.10.14г.                                         7чел.*45 руб.*95уч.дн</t>
  </si>
  <si>
    <t>90 0 4310</t>
  </si>
  <si>
    <t xml:space="preserve">пособия по соц.помощи (суб.)    </t>
  </si>
  <si>
    <t>90 0 4210</t>
  </si>
  <si>
    <t>Почтовые сбор за перевод з/пл.</t>
  </si>
  <si>
    <r>
      <t>Увеличение стоимости ОС</t>
    </r>
    <r>
      <rPr>
        <b/>
        <sz val="9"/>
        <color indexed="12"/>
        <rFont val="Arial Cyr"/>
        <family val="0"/>
      </rPr>
      <t xml:space="preserve"> </t>
    </r>
    <r>
      <rPr>
        <sz val="9"/>
        <color indexed="12"/>
        <rFont val="Arial Cyr"/>
        <family val="0"/>
      </rPr>
      <t>(инвал.)</t>
    </r>
  </si>
  <si>
    <t>Оплата 3-х дней по б/листу (11м.2014г-11387р.)</t>
  </si>
  <si>
    <t>Окончательный расчет (11м.2014г-52262,87р.)</t>
  </si>
  <si>
    <r>
      <t xml:space="preserve">" </t>
    </r>
    <r>
      <rPr>
        <u val="single"/>
        <sz val="11"/>
        <rFont val="Times New Roman"/>
        <family val="1"/>
      </rPr>
      <t>26</t>
    </r>
    <r>
      <rPr>
        <sz val="11"/>
        <rFont val="Times New Roman"/>
        <family val="1"/>
      </rPr>
      <t xml:space="preserve"> " 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 2014 г.</t>
    </r>
  </si>
  <si>
    <t>" 26"  декабря  2014 г.</t>
  </si>
  <si>
    <t xml:space="preserve">        (должность)                                                                                                                 </t>
  </si>
  <si>
    <t xml:space="preserve">        зам.руководителя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</si>
</sst>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&quot;р.&quot;"/>
    <numFmt numFmtId="173" formatCode="0.00000000"/>
    <numFmt numFmtId="174" formatCode="#,##0.000"/>
    <numFmt numFmtId="175" formatCode="0.000000000"/>
  </numFmts>
  <fonts count="1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u val="single"/>
      <sz val="11"/>
      <name val="Arial Cyr"/>
      <family val="0"/>
    </font>
    <font>
      <b/>
      <i/>
      <sz val="11"/>
      <name val="Arial Cyr"/>
      <family val="0"/>
    </font>
    <font>
      <sz val="8.5"/>
      <name val="Arial Cyr"/>
      <family val="0"/>
    </font>
    <font>
      <b/>
      <i/>
      <sz val="9"/>
      <name val="Arial Cyr"/>
      <family val="0"/>
    </font>
    <font>
      <b/>
      <i/>
      <u val="single"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9"/>
      <color indexed="17"/>
      <name val="Arial Cyr"/>
      <family val="0"/>
    </font>
    <font>
      <sz val="8"/>
      <color indexed="62"/>
      <name val="Arial Cyr"/>
      <family val="0"/>
    </font>
    <font>
      <sz val="9"/>
      <color indexed="62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sz val="10"/>
      <color indexed="17"/>
      <name val="Arial Cyr"/>
      <family val="0"/>
    </font>
    <font>
      <i/>
      <sz val="8"/>
      <color indexed="62"/>
      <name val="Arial Cyr"/>
      <family val="0"/>
    </font>
    <font>
      <b/>
      <sz val="8"/>
      <color indexed="62"/>
      <name val="Arial Cyr"/>
      <family val="0"/>
    </font>
    <font>
      <b/>
      <sz val="9"/>
      <color indexed="6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6.5"/>
      <name val="Arial Cyr"/>
      <family val="2"/>
    </font>
    <font>
      <sz val="8.5"/>
      <color indexed="16"/>
      <name val="Arial Cyr"/>
      <family val="0"/>
    </font>
    <font>
      <sz val="8"/>
      <color indexed="16"/>
      <name val="Arial Cyr"/>
      <family val="0"/>
    </font>
    <font>
      <sz val="9"/>
      <color indexed="16"/>
      <name val="Arial Cyr"/>
      <family val="0"/>
    </font>
    <font>
      <sz val="10"/>
      <color indexed="16"/>
      <name val="Arial Cyr"/>
      <family val="0"/>
    </font>
    <font>
      <b/>
      <sz val="9"/>
      <color indexed="16"/>
      <name val="Arial Cyr"/>
      <family val="0"/>
    </font>
    <font>
      <b/>
      <sz val="10"/>
      <color indexed="16"/>
      <name val="Arial Cyr"/>
      <family val="0"/>
    </font>
    <font>
      <i/>
      <sz val="9"/>
      <color indexed="16"/>
      <name val="Arial Cyr"/>
      <family val="0"/>
    </font>
    <font>
      <i/>
      <sz val="9"/>
      <color indexed="62"/>
      <name val="Arial Cyr"/>
      <family val="0"/>
    </font>
    <font>
      <sz val="10"/>
      <color indexed="20"/>
      <name val="Arial Cyr"/>
      <family val="0"/>
    </font>
    <font>
      <sz val="9"/>
      <color indexed="20"/>
      <name val="Arial Cyr"/>
      <family val="0"/>
    </font>
    <font>
      <sz val="9"/>
      <color indexed="10"/>
      <name val="Arial Cyr"/>
      <family val="0"/>
    </font>
    <font>
      <i/>
      <sz val="8"/>
      <color indexed="20"/>
      <name val="Arial Cyr"/>
      <family val="0"/>
    </font>
    <font>
      <sz val="9"/>
      <color indexed="61"/>
      <name val="Arial Cyr"/>
      <family val="0"/>
    </font>
    <font>
      <i/>
      <sz val="9"/>
      <color indexed="20"/>
      <name val="Arial Cyr"/>
      <family val="0"/>
    </font>
    <font>
      <u val="single"/>
      <sz val="11"/>
      <name val="Times New Roman"/>
      <family val="1"/>
    </font>
    <font>
      <sz val="9"/>
      <color indexed="21"/>
      <name val="Arial Cyr"/>
      <family val="0"/>
    </font>
    <font>
      <sz val="10"/>
      <color indexed="21"/>
      <name val="Arial Cyr"/>
      <family val="0"/>
    </font>
    <font>
      <b/>
      <sz val="10"/>
      <color indexed="18"/>
      <name val="Arial Cyr"/>
      <family val="0"/>
    </font>
    <font>
      <sz val="9"/>
      <color indexed="56"/>
      <name val="Arial Cyr"/>
      <family val="0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sz val="10"/>
      <color indexed="56"/>
      <name val="Arial Cyr"/>
      <family val="0"/>
    </font>
    <font>
      <sz val="10"/>
      <color indexed="61"/>
      <name val="Arial Cyr"/>
      <family val="0"/>
    </font>
    <font>
      <i/>
      <sz val="9"/>
      <color indexed="61"/>
      <name val="Arial Cyr"/>
      <family val="0"/>
    </font>
    <font>
      <sz val="10"/>
      <color indexed="20"/>
      <name val="Times New Roman"/>
      <family val="1"/>
    </font>
    <font>
      <sz val="9"/>
      <color indexed="20"/>
      <name val="Times New Roman"/>
      <family val="1"/>
    </font>
    <font>
      <sz val="9"/>
      <color indexed="59"/>
      <name val="Arial Cyr"/>
      <family val="0"/>
    </font>
    <font>
      <sz val="10"/>
      <color indexed="59"/>
      <name val="Times New Roman"/>
      <family val="1"/>
    </font>
    <font>
      <sz val="9"/>
      <color indexed="59"/>
      <name val="Times New Roman"/>
      <family val="1"/>
    </font>
    <font>
      <sz val="10"/>
      <color indexed="59"/>
      <name val="Arial Cyr"/>
      <family val="0"/>
    </font>
    <font>
      <sz val="9"/>
      <color indexed="12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.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9" fillId="0" borderId="13" xfId="0" applyFont="1" applyBorder="1" applyAlignment="1">
      <alignment horizontal="right" vertical="center" wrapText="1"/>
    </xf>
    <xf numFmtId="0" fontId="5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" fontId="3" fillId="33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2" fontId="5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28" fillId="0" borderId="13" xfId="0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vertical="center" wrapText="1"/>
    </xf>
    <xf numFmtId="4" fontId="31" fillId="0" borderId="13" xfId="0" applyNumberFormat="1" applyFont="1" applyBorder="1" applyAlignment="1">
      <alignment horizontal="center" wrapText="1"/>
    </xf>
    <xf numFmtId="4" fontId="29" fillId="0" borderId="13" xfId="0" applyNumberFormat="1" applyFont="1" applyBorder="1" applyAlignment="1">
      <alignment horizontal="center" wrapText="1"/>
    </xf>
    <xf numFmtId="4" fontId="31" fillId="0" borderId="21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9" fillId="0" borderId="17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4" fontId="30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4" fontId="30" fillId="0" borderId="26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" fontId="35" fillId="0" borderId="27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29" fillId="0" borderId="21" xfId="0" applyNumberFormat="1" applyFont="1" applyBorder="1" applyAlignment="1">
      <alignment horizontal="center" wrapText="1"/>
    </xf>
    <xf numFmtId="0" fontId="39" fillId="0" borderId="2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9" fontId="37" fillId="0" borderId="0" xfId="57" applyFont="1" applyAlignment="1">
      <alignment/>
    </xf>
    <xf numFmtId="9" fontId="37" fillId="0" borderId="29" xfId="57" applyFont="1" applyBorder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37" fillId="0" borderId="2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11" xfId="0" applyFont="1" applyBorder="1" applyAlignment="1">
      <alignment/>
    </xf>
    <xf numFmtId="0" fontId="38" fillId="0" borderId="0" xfId="0" applyFont="1" applyAlignment="1">
      <alignment/>
    </xf>
    <xf numFmtId="0" fontId="39" fillId="0" borderId="2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49" fontId="42" fillId="0" borderId="19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49" fontId="37" fillId="0" borderId="30" xfId="0" applyNumberFormat="1" applyFont="1" applyBorder="1" applyAlignment="1">
      <alignment horizontal="center"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3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46" fillId="0" borderId="13" xfId="0" applyFont="1" applyBorder="1" applyAlignment="1">
      <alignment vertical="center" wrapText="1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0" fillId="0" borderId="13" xfId="0" applyNumberFormat="1" applyBorder="1" applyAlignment="1">
      <alignment/>
    </xf>
    <xf numFmtId="4" fontId="49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4" fontId="35" fillId="0" borderId="2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47" fillId="0" borderId="41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/>
    </xf>
    <xf numFmtId="4" fontId="48" fillId="0" borderId="17" xfId="0" applyNumberFormat="1" applyFont="1" applyBorder="1" applyAlignment="1">
      <alignment horizontal="center"/>
    </xf>
    <xf numFmtId="4" fontId="50" fillId="0" borderId="27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4" fontId="48" fillId="0" borderId="13" xfId="0" applyNumberFormat="1" applyFont="1" applyBorder="1" applyAlignment="1">
      <alignment horizontal="center" wrapText="1"/>
    </xf>
    <xf numFmtId="4" fontId="48" fillId="0" borderId="21" xfId="0" applyNumberFormat="1" applyFont="1" applyBorder="1" applyAlignment="1">
      <alignment horizontal="center" wrapText="1"/>
    </xf>
    <xf numFmtId="4" fontId="51" fillId="0" borderId="22" xfId="0" applyNumberFormat="1" applyFont="1" applyBorder="1" applyAlignment="1">
      <alignment horizontal="center" wrapText="1"/>
    </xf>
    <xf numFmtId="4" fontId="49" fillId="0" borderId="13" xfId="0" applyNumberFormat="1" applyFont="1" applyBorder="1" applyAlignment="1">
      <alignment horizontal="center" wrapText="1"/>
    </xf>
    <xf numFmtId="4" fontId="49" fillId="0" borderId="21" xfId="0" applyNumberFormat="1" applyFont="1" applyBorder="1" applyAlignment="1">
      <alignment horizontal="center" wrapText="1"/>
    </xf>
    <xf numFmtId="4" fontId="50" fillId="0" borderId="38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vertical="center" wrapText="1"/>
    </xf>
    <xf numFmtId="4" fontId="14" fillId="34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4" fontId="56" fillId="0" borderId="13" xfId="0" applyNumberFormat="1" applyFont="1" applyBorder="1" applyAlignment="1">
      <alignment horizontal="center" wrapText="1"/>
    </xf>
    <xf numFmtId="4" fontId="48" fillId="0" borderId="13" xfId="0" applyNumberFormat="1" applyFont="1" applyFill="1" applyBorder="1" applyAlignment="1">
      <alignment horizontal="center"/>
    </xf>
    <xf numFmtId="4" fontId="29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4" fontId="36" fillId="0" borderId="0" xfId="0" applyNumberFormat="1" applyFont="1" applyAlignment="1">
      <alignment/>
    </xf>
    <xf numFmtId="4" fontId="55" fillId="0" borderId="13" xfId="0" applyNumberFormat="1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4" fontId="55" fillId="0" borderId="13" xfId="0" applyNumberFormat="1" applyFont="1" applyBorder="1" applyAlignment="1">
      <alignment horizontal="center"/>
    </xf>
    <xf numFmtId="2" fontId="39" fillId="0" borderId="0" xfId="0" applyNumberFormat="1" applyFont="1" applyAlignment="1">
      <alignment/>
    </xf>
    <xf numFmtId="2" fontId="1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0" fontId="57" fillId="0" borderId="12" xfId="0" applyFont="1" applyBorder="1" applyAlignment="1">
      <alignment wrapText="1"/>
    </xf>
    <xf numFmtId="2" fontId="5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4" fontId="49" fillId="0" borderId="13" xfId="0" applyNumberFormat="1" applyFont="1" applyFill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4" fontId="51" fillId="0" borderId="23" xfId="0" applyNumberFormat="1" applyFont="1" applyBorder="1" applyAlignment="1">
      <alignment horizontal="center" vertical="center"/>
    </xf>
    <xf numFmtId="4" fontId="63" fillId="0" borderId="23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49" fontId="66" fillId="0" borderId="19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2" fontId="47" fillId="0" borderId="13" xfId="0" applyNumberFormat="1" applyFont="1" applyBorder="1" applyAlignment="1">
      <alignment/>
    </xf>
    <xf numFmtId="170" fontId="47" fillId="0" borderId="13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3" fillId="0" borderId="4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wrapText="1"/>
    </xf>
    <xf numFmtId="0" fontId="3" fillId="0" borderId="38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4" fontId="48" fillId="0" borderId="13" xfId="0" applyNumberFormat="1" applyFont="1" applyFill="1" applyBorder="1" applyAlignment="1">
      <alignment horizontal="center" wrapText="1"/>
    </xf>
    <xf numFmtId="4" fontId="29" fillId="0" borderId="13" xfId="0" applyNumberFormat="1" applyFont="1" applyFill="1" applyBorder="1" applyAlignment="1">
      <alignment horizontal="center" wrapText="1"/>
    </xf>
    <xf numFmtId="4" fontId="56" fillId="0" borderId="13" xfId="0" applyNumberFormat="1" applyFont="1" applyFill="1" applyBorder="1" applyAlignment="1">
      <alignment horizontal="center" wrapText="1"/>
    </xf>
    <xf numFmtId="4" fontId="50" fillId="0" borderId="22" xfId="0" applyNumberFormat="1" applyFont="1" applyBorder="1" applyAlignment="1">
      <alignment horizontal="center" wrapText="1"/>
    </xf>
    <xf numFmtId="4" fontId="35" fillId="0" borderId="22" xfId="0" applyNumberFormat="1" applyFont="1" applyBorder="1" applyAlignment="1">
      <alignment horizontal="center" wrapText="1"/>
    </xf>
    <xf numFmtId="4" fontId="58" fillId="0" borderId="13" xfId="0" applyNumberFormat="1" applyFont="1" applyFill="1" applyBorder="1" applyAlignment="1">
      <alignment/>
    </xf>
    <xf numFmtId="4" fontId="55" fillId="0" borderId="13" xfId="0" applyNumberFormat="1" applyFont="1" applyFill="1" applyBorder="1" applyAlignment="1">
      <alignment vertical="center" wrapText="1"/>
    </xf>
    <xf numFmtId="0" fontId="70" fillId="0" borderId="13" xfId="0" applyFont="1" applyBorder="1" applyAlignment="1">
      <alignment horizontal="center"/>
    </xf>
    <xf numFmtId="49" fontId="71" fillId="0" borderId="19" xfId="0" applyNumberFormat="1" applyFont="1" applyBorder="1" applyAlignment="1">
      <alignment horizontal="center"/>
    </xf>
    <xf numFmtId="49" fontId="71" fillId="0" borderId="13" xfId="0" applyNumberFormat="1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49" fontId="74" fillId="0" borderId="19" xfId="0" applyNumberFormat="1" applyFont="1" applyBorder="1" applyAlignment="1">
      <alignment horizontal="center"/>
    </xf>
    <xf numFmtId="49" fontId="74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49" fontId="79" fillId="0" borderId="19" xfId="0" applyNumberFormat="1" applyFont="1" applyBorder="1" applyAlignment="1">
      <alignment horizontal="center"/>
    </xf>
    <xf numFmtId="49" fontId="79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" fillId="0" borderId="45" xfId="0" applyFont="1" applyBorder="1" applyAlignment="1">
      <alignment horizontal="left" wrapText="1"/>
    </xf>
    <xf numFmtId="0" fontId="0" fillId="0" borderId="45" xfId="0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37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19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4" fillId="0" borderId="12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79" fillId="0" borderId="12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0" borderId="12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19" xfId="0" applyFont="1" applyBorder="1" applyAlignment="1">
      <alignment/>
    </xf>
    <xf numFmtId="0" fontId="45" fillId="0" borderId="12" xfId="0" applyFont="1" applyBorder="1" applyAlignment="1">
      <alignment horizontal="right" vertical="center"/>
    </xf>
    <xf numFmtId="0" fontId="45" fillId="0" borderId="29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74" fillId="0" borderId="12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4" fontId="65" fillId="0" borderId="12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19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29" xfId="0" applyFont="1" applyBorder="1" applyAlignment="1">
      <alignment/>
    </xf>
    <xf numFmtId="0" fontId="64" fillId="0" borderId="19" xfId="0" applyFont="1" applyBorder="1" applyAlignment="1">
      <alignment/>
    </xf>
    <xf numFmtId="0" fontId="66" fillId="0" borderId="19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7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4" fontId="70" fillId="0" borderId="12" xfId="0" applyNumberFormat="1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4" fontId="73" fillId="0" borderId="12" xfId="0" applyNumberFormat="1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39" fillId="0" borderId="41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/>
    </xf>
    <xf numFmtId="4" fontId="41" fillId="0" borderId="12" xfId="0" applyNumberFormat="1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4" fontId="29" fillId="0" borderId="12" xfId="0" applyNumberFormat="1" applyFont="1" applyBorder="1" applyAlignment="1">
      <alignment vertical="center" wrapText="1"/>
    </xf>
    <xf numFmtId="4" fontId="29" fillId="0" borderId="19" xfId="0" applyNumberFormat="1" applyFont="1" applyBorder="1" applyAlignment="1">
      <alignment vertical="center" wrapText="1"/>
    </xf>
    <xf numFmtId="4" fontId="29" fillId="0" borderId="29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0" borderId="46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4" fontId="61" fillId="0" borderId="12" xfId="0" applyNumberFormat="1" applyFont="1" applyBorder="1" applyAlignment="1">
      <alignment vertical="center" wrapText="1"/>
    </xf>
    <xf numFmtId="4" fontId="61" fillId="0" borderId="19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62" fillId="0" borderId="12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8" xfId="0" applyBorder="1" applyAlignment="1">
      <alignment/>
    </xf>
    <xf numFmtId="0" fontId="3" fillId="0" borderId="4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4" fontId="0" fillId="0" borderId="39" xfId="0" applyNumberFormat="1" applyBorder="1" applyAlignment="1">
      <alignment vertical="center" wrapText="1"/>
    </xf>
    <xf numFmtId="4" fontId="0" fillId="0" borderId="48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4" fontId="61" fillId="0" borderId="29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4" fontId="48" fillId="0" borderId="19" xfId="0" applyNumberFormat="1" applyFont="1" applyBorder="1" applyAlignment="1">
      <alignment vertical="center" wrapText="1"/>
    </xf>
    <xf numFmtId="4" fontId="48" fillId="0" borderId="29" xfId="0" applyNumberFormat="1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center" vertical="center" wrapText="1"/>
    </xf>
    <xf numFmtId="4" fontId="26" fillId="0" borderId="37" xfId="0" applyNumberFormat="1" applyFont="1" applyBorder="1" applyAlignment="1">
      <alignment horizontal="center" vertical="center" wrapText="1"/>
    </xf>
    <xf numFmtId="4" fontId="26" fillId="0" borderId="4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41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4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4" fontId="48" fillId="0" borderId="12" xfId="0" applyNumberFormat="1" applyFont="1" applyBorder="1" applyAlignment="1">
      <alignment horizontal="center" wrapText="1"/>
    </xf>
    <xf numFmtId="4" fontId="48" fillId="0" borderId="19" xfId="0" applyNumberFormat="1" applyFont="1" applyBorder="1" applyAlignment="1">
      <alignment horizontal="center" wrapText="1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 wrapText="1"/>
    </xf>
    <xf numFmtId="4" fontId="48" fillId="0" borderId="29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4" fontId="51" fillId="0" borderId="38" xfId="0" applyNumberFormat="1" applyFont="1" applyBorder="1" applyAlignment="1">
      <alignment horizontal="center" wrapText="1"/>
    </xf>
    <xf numFmtId="4" fontId="51" fillId="0" borderId="37" xfId="0" applyNumberFormat="1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0" fillId="0" borderId="41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51" fillId="0" borderId="16" xfId="0" applyNumberFormat="1" applyFont="1" applyBorder="1" applyAlignment="1">
      <alignment horizontal="center" wrapText="1"/>
    </xf>
    <xf numFmtId="4" fontId="51" fillId="0" borderId="2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49" fillId="0" borderId="14" xfId="0" applyNumberFormat="1" applyFont="1" applyBorder="1" applyAlignment="1">
      <alignment horizontal="center" wrapText="1"/>
    </xf>
    <xf numFmtId="4" fontId="49" fillId="0" borderId="15" xfId="0" applyNumberFormat="1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4" fontId="48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wrapText="1"/>
    </xf>
    <xf numFmtId="3" fontId="48" fillId="0" borderId="19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3" fontId="48" fillId="0" borderId="16" xfId="0" applyNumberFormat="1" applyFont="1" applyBorder="1" applyAlignment="1">
      <alignment horizontal="center" wrapText="1"/>
    </xf>
    <xf numFmtId="3" fontId="48" fillId="0" borderId="20" xfId="0" applyNumberFormat="1" applyFont="1" applyBorder="1" applyAlignment="1">
      <alignment horizontal="center" wrapText="1"/>
    </xf>
    <xf numFmtId="3" fontId="51" fillId="0" borderId="16" xfId="0" applyNumberFormat="1" applyFont="1" applyBorder="1" applyAlignment="1">
      <alignment horizontal="center" wrapText="1"/>
    </xf>
    <xf numFmtId="3" fontId="51" fillId="0" borderId="20" xfId="0" applyNumberFormat="1" applyFont="1" applyBorder="1" applyAlignment="1">
      <alignment horizontal="center" wrapText="1"/>
    </xf>
    <xf numFmtId="3" fontId="48" fillId="0" borderId="14" xfId="0" applyNumberFormat="1" applyFont="1" applyBorder="1" applyAlignment="1">
      <alignment horizontal="center" wrapText="1"/>
    </xf>
    <xf numFmtId="3" fontId="48" fillId="0" borderId="15" xfId="0" applyNumberFormat="1" applyFont="1" applyBorder="1" applyAlignment="1">
      <alignment horizontal="center" wrapText="1"/>
    </xf>
    <xf numFmtId="0" fontId="53" fillId="0" borderId="12" xfId="0" applyFont="1" applyBorder="1" applyAlignment="1">
      <alignment wrapText="1"/>
    </xf>
    <xf numFmtId="0" fontId="53" fillId="0" borderId="29" xfId="0" applyFont="1" applyBorder="1" applyAlignment="1">
      <alignment/>
    </xf>
    <xf numFmtId="0" fontId="53" fillId="0" borderId="19" xfId="0" applyFont="1" applyBorder="1" applyAlignment="1">
      <alignment/>
    </xf>
    <xf numFmtId="0" fontId="0" fillId="0" borderId="0" xfId="0" applyAlignment="1">
      <alignment/>
    </xf>
    <xf numFmtId="49" fontId="0" fillId="0" borderId="12" xfId="0" applyNumberFormat="1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52" fillId="0" borderId="12" xfId="0" applyFont="1" applyBorder="1" applyAlignment="1">
      <alignment wrapText="1"/>
    </xf>
    <xf numFmtId="0" fontId="52" fillId="0" borderId="29" xfId="0" applyFont="1" applyBorder="1" applyAlignment="1">
      <alignment/>
    </xf>
    <xf numFmtId="0" fontId="52" fillId="0" borderId="19" xfId="0" applyFont="1" applyBorder="1" applyAlignment="1">
      <alignment/>
    </xf>
    <xf numFmtId="0" fontId="49" fillId="0" borderId="12" xfId="0" applyFont="1" applyBorder="1" applyAlignment="1">
      <alignment horizontal="left" wrapText="1"/>
    </xf>
    <xf numFmtId="0" fontId="49" fillId="0" borderId="29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4" fontId="0" fillId="0" borderId="41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3" fillId="0" borderId="38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4" fillId="0" borderId="12" xfId="0" applyFont="1" applyBorder="1" applyAlignment="1">
      <alignment horizontal="left" wrapText="1"/>
    </xf>
    <xf numFmtId="0" fontId="54" fillId="0" borderId="29" xfId="0" applyFont="1" applyBorder="1" applyAlignment="1">
      <alignment horizontal="left" wrapText="1"/>
    </xf>
    <xf numFmtId="0" fontId="54" fillId="0" borderId="19" xfId="0" applyFont="1" applyBorder="1" applyAlignment="1">
      <alignment horizontal="left" wrapText="1"/>
    </xf>
    <xf numFmtId="0" fontId="57" fillId="0" borderId="12" xfId="0" applyFont="1" applyBorder="1" applyAlignment="1">
      <alignment wrapText="1"/>
    </xf>
    <xf numFmtId="0" fontId="57" fillId="0" borderId="29" xfId="0" applyFont="1" applyBorder="1" applyAlignment="1">
      <alignment/>
    </xf>
    <xf numFmtId="0" fontId="57" fillId="0" borderId="19" xfId="0" applyFont="1" applyBorder="1" applyAlignment="1">
      <alignment/>
    </xf>
    <xf numFmtId="4" fontId="55" fillId="0" borderId="12" xfId="0" applyNumberFormat="1" applyFont="1" applyFill="1" applyBorder="1" applyAlignment="1">
      <alignment/>
    </xf>
    <xf numFmtId="4" fontId="55" fillId="0" borderId="19" xfId="0" applyNumberFormat="1" applyFont="1" applyFill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29" xfId="0" applyFont="1" applyBorder="1" applyAlignment="1">
      <alignment/>
    </xf>
    <xf numFmtId="0" fontId="48" fillId="0" borderId="19" xfId="0" applyFont="1" applyBorder="1" applyAlignment="1">
      <alignment/>
    </xf>
    <xf numFmtId="4" fontId="48" fillId="0" borderId="12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/>
    </xf>
    <xf numFmtId="4" fontId="49" fillId="0" borderId="41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wrapText="1"/>
    </xf>
    <xf numFmtId="0" fontId="32" fillId="0" borderId="29" xfId="0" applyFont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27" fillId="0" borderId="12" xfId="0" applyFont="1" applyBorder="1" applyAlignment="1">
      <alignment wrapText="1"/>
    </xf>
    <xf numFmtId="0" fontId="27" fillId="0" borderId="29" xfId="0" applyFont="1" applyBorder="1" applyAlignment="1">
      <alignment/>
    </xf>
    <xf numFmtId="0" fontId="27" fillId="0" borderId="19" xfId="0" applyFont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/>
    </xf>
    <xf numFmtId="49" fontId="31" fillId="0" borderId="12" xfId="0" applyNumberFormat="1" applyFont="1" applyBorder="1" applyAlignment="1">
      <alignment horizontal="left" wrapText="1"/>
    </xf>
    <xf numFmtId="49" fontId="31" fillId="0" borderId="29" xfId="0" applyNumberFormat="1" applyFont="1" applyBorder="1" applyAlignment="1">
      <alignment horizontal="left" wrapText="1"/>
    </xf>
    <xf numFmtId="49" fontId="31" fillId="0" borderId="19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29" fillId="0" borderId="19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15" xfId="0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31" fillId="0" borderId="12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29" xfId="0" applyFont="1" applyBorder="1" applyAlignment="1">
      <alignment/>
    </xf>
    <xf numFmtId="0" fontId="31" fillId="0" borderId="19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4" fontId="29" fillId="0" borderId="12" xfId="0" applyNumberFormat="1" applyFont="1" applyBorder="1" applyAlignment="1">
      <alignment horizontal="center"/>
    </xf>
    <xf numFmtId="4" fontId="31" fillId="0" borderId="19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8" fillId="0" borderId="12" xfId="0" applyFont="1" applyBorder="1" applyAlignment="1">
      <alignment horizontal="left" wrapText="1"/>
    </xf>
    <xf numFmtId="0" fontId="68" fillId="0" borderId="29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0" fontId="69" fillId="0" borderId="12" xfId="0" applyFont="1" applyBorder="1" applyAlignment="1">
      <alignment wrapText="1"/>
    </xf>
    <xf numFmtId="0" fontId="69" fillId="0" borderId="29" xfId="0" applyFont="1" applyBorder="1" applyAlignment="1">
      <alignment/>
    </xf>
    <xf numFmtId="0" fontId="69" fillId="0" borderId="19" xfId="0" applyFont="1" applyBorder="1" applyAlignment="1">
      <alignment/>
    </xf>
    <xf numFmtId="49" fontId="0" fillId="0" borderId="12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20" xfId="0" applyBorder="1" applyAlignment="1">
      <alignment/>
    </xf>
    <xf numFmtId="49" fontId="10" fillId="0" borderId="14" xfId="0" applyNumberFormat="1" applyFont="1" applyBorder="1" applyAlignment="1">
      <alignment horizontal="left" wrapText="1"/>
    </xf>
    <xf numFmtId="49" fontId="10" fillId="0" borderId="56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1" fillId="0" borderId="12" xfId="0" applyFont="1" applyBorder="1" applyAlignment="1">
      <alignment horizontal="left" wrapText="1"/>
    </xf>
    <xf numFmtId="0" fontId="31" fillId="0" borderId="29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34" fillId="0" borderId="5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0" fillId="0" borderId="5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4" fontId="37" fillId="35" borderId="12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5\&#1088;&#1072;&#1089;&#1095;&#1077;&#1090;&#1099;\&#1088;&#1072;&#1089;&#1095;&#1077;&#1090;%20&#1082;%20&#1073;&#1102;&#1076;&#1078;&#1077;&#1090;&#1091;%20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8;&#1072;&#1089;&#1095;&#1077;&#1090;%20&#1087;&#1086;%20&#1087;&#1077;&#1076;.&#1088;&#1072;&#1073;.2014-2015&#1075;\&#1042;&#1072;&#1083;&#1072;&#1072;&#1084;.&#1054;&#1054;&#1064;%20%20&#1090;&#1072;&#1088;&#1080;&#1092;&#1080;&#1082;&#1072;&#1094;&#1080;&#1103;%20&#1085;&#1072;%2001.09.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+213"/>
      <sheetName val="пос. до3х"/>
      <sheetName val="проезд отп."/>
      <sheetName val="суточ."/>
      <sheetName val="связь(221)"/>
      <sheetName val="транс(222)"/>
      <sheetName val="отоп."/>
      <sheetName val="осв."/>
      <sheetName val="вода"/>
      <sheetName val="мусор(225)"/>
      <sheetName val="СЭС "/>
      <sheetName val="экс.АПС"/>
      <sheetName val="огнет"/>
      <sheetName val="промывка"/>
      <sheetName val="сопр."/>
      <sheetName val="рем.об."/>
      <sheetName val="рем.сетей"/>
      <sheetName val="ремонт пом."/>
      <sheetName val="проч.225"/>
      <sheetName val="мед.осм."/>
      <sheetName val="прож.(226)"/>
      <sheetName val="охрана"/>
      <sheetName val="прочие,внештатный фонд"/>
      <sheetName val="налог(290)"/>
      <sheetName val="новый 290"/>
      <sheetName val="внешк"/>
      <sheetName val="мебель(310)"/>
      <sheetName val="обор-ние"/>
      <sheetName val="прочие "/>
      <sheetName val="уч.наг."/>
      <sheetName val="мед.(310)"/>
      <sheetName val="канц."/>
      <sheetName val="строит."/>
      <sheetName val="хоз."/>
      <sheetName val="прочие"/>
      <sheetName val="пит"/>
      <sheetName val="мяг."/>
      <sheetName val="посуда"/>
      <sheetName val="суб"/>
    </sheetNames>
    <sheetDataSet>
      <sheetData sheetId="24">
        <row r="33">
          <cell r="E33">
            <v>368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9.14"/>
      <sheetName val="прил."/>
    </sheetNames>
    <sheetDataSet>
      <sheetData sheetId="0">
        <row r="36">
          <cell r="AD36">
            <v>166924.09799999997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view="pageBreakPreview" zoomScale="91" zoomScaleSheetLayoutView="91" zoomScalePageLayoutView="0" workbookViewId="0" topLeftCell="A1">
      <selection activeCell="N65" sqref="N65:O65"/>
    </sheetView>
  </sheetViews>
  <sheetFormatPr defaultColWidth="9.00390625" defaultRowHeight="12.75"/>
  <cols>
    <col min="1" max="1" width="9.75390625" style="104" customWidth="1"/>
    <col min="2" max="2" width="11.00390625" style="104" customWidth="1"/>
    <col min="3" max="3" width="17.875" style="104" customWidth="1"/>
    <col min="4" max="4" width="9.25390625" style="104" customWidth="1"/>
    <col min="5" max="5" width="7.25390625" style="104" customWidth="1"/>
    <col min="6" max="6" width="8.00390625" style="104" customWidth="1"/>
    <col min="7" max="7" width="7.75390625" style="104" customWidth="1"/>
    <col min="8" max="8" width="6.75390625" style="104" customWidth="1"/>
    <col min="9" max="9" width="8.00390625" style="104" customWidth="1"/>
    <col min="10" max="10" width="9.875" style="104" customWidth="1"/>
    <col min="11" max="11" width="7.75390625" style="104" customWidth="1"/>
    <col min="12" max="12" width="10.625" style="104" customWidth="1"/>
    <col min="13" max="13" width="8.375" style="104" customWidth="1"/>
    <col min="14" max="14" width="14.75390625" style="104" customWidth="1"/>
    <col min="15" max="15" width="6.625" style="104" customWidth="1"/>
    <col min="16" max="16" width="16.375" style="104" customWidth="1"/>
    <col min="17" max="16384" width="9.125" style="104" customWidth="1"/>
  </cols>
  <sheetData>
    <row r="1" spans="1:14" ht="18" customHeight="1">
      <c r="A1" s="371"/>
      <c r="B1" s="371"/>
      <c r="C1" s="371"/>
      <c r="D1" s="371"/>
      <c r="E1" s="371"/>
      <c r="F1" s="371"/>
      <c r="G1" s="105"/>
      <c r="J1" s="372" t="s">
        <v>193</v>
      </c>
      <c r="K1" s="373"/>
      <c r="L1" s="373"/>
      <c r="M1" s="373"/>
      <c r="N1" s="373"/>
    </row>
    <row r="2" spans="1:14" ht="15" customHeight="1">
      <c r="A2" s="364"/>
      <c r="B2" s="364"/>
      <c r="C2" s="364"/>
      <c r="D2" s="364"/>
      <c r="E2" s="364"/>
      <c r="F2" s="364"/>
      <c r="G2" s="364"/>
      <c r="J2" s="369" t="s">
        <v>237</v>
      </c>
      <c r="K2" s="370"/>
      <c r="L2" s="370"/>
      <c r="M2" s="370"/>
      <c r="N2" s="370"/>
    </row>
    <row r="3" spans="1:14" ht="9.75" customHeight="1">
      <c r="A3" s="338"/>
      <c r="B3" s="338"/>
      <c r="C3" s="338"/>
      <c r="D3" s="338"/>
      <c r="E3" s="338"/>
      <c r="F3" s="338"/>
      <c r="G3" s="338"/>
      <c r="J3" s="339" t="s">
        <v>239</v>
      </c>
      <c r="K3" s="368"/>
      <c r="L3" s="368"/>
      <c r="M3" s="368"/>
      <c r="N3" s="368"/>
    </row>
    <row r="4" spans="1:14" ht="13.5" customHeight="1">
      <c r="A4" s="106"/>
      <c r="B4" s="106"/>
      <c r="C4" s="106"/>
      <c r="D4" s="106"/>
      <c r="E4" s="106"/>
      <c r="F4" s="106"/>
      <c r="G4" s="106"/>
      <c r="J4" s="369" t="s">
        <v>225</v>
      </c>
      <c r="K4" s="370"/>
      <c r="L4" s="370"/>
      <c r="M4" s="370"/>
      <c r="N4" s="370"/>
    </row>
    <row r="5" spans="1:14" ht="9.75" customHeight="1">
      <c r="A5" s="338"/>
      <c r="B5" s="338"/>
      <c r="C5" s="338"/>
      <c r="D5" s="338"/>
      <c r="E5" s="338"/>
      <c r="F5" s="338"/>
      <c r="G5" s="338"/>
      <c r="J5" s="339" t="s">
        <v>238</v>
      </c>
      <c r="K5" s="368"/>
      <c r="L5" s="368"/>
      <c r="M5" s="368"/>
      <c r="N5" s="368"/>
    </row>
    <row r="6" spans="1:14" ht="21.75" customHeight="1">
      <c r="A6" s="364"/>
      <c r="B6" s="364"/>
      <c r="C6" s="364"/>
      <c r="D6" s="364"/>
      <c r="E6" s="364"/>
      <c r="F6" s="364"/>
      <c r="G6" s="364"/>
      <c r="J6" s="365" t="s">
        <v>240</v>
      </c>
      <c r="K6" s="366"/>
      <c r="L6" s="366"/>
      <c r="M6" s="366"/>
      <c r="N6" s="366"/>
    </row>
    <row r="7" spans="1:14" ht="12" customHeight="1">
      <c r="A7" s="367"/>
      <c r="B7" s="367"/>
      <c r="C7" s="367"/>
      <c r="D7" s="367"/>
      <c r="E7" s="367"/>
      <c r="F7" s="367"/>
      <c r="G7" s="107"/>
      <c r="H7" s="108"/>
      <c r="I7" s="108"/>
      <c r="J7" s="108" t="s">
        <v>241</v>
      </c>
      <c r="K7" s="108"/>
      <c r="L7" s="108"/>
      <c r="M7" s="108"/>
      <c r="N7" s="108"/>
    </row>
    <row r="8" spans="1:14" ht="15.75" customHeight="1">
      <c r="A8" s="364"/>
      <c r="B8" s="364"/>
      <c r="C8" s="364"/>
      <c r="D8" s="364"/>
      <c r="E8" s="364"/>
      <c r="F8" s="364"/>
      <c r="G8" s="364"/>
      <c r="H8" s="109"/>
      <c r="I8" s="109"/>
      <c r="J8" s="109" t="s">
        <v>378</v>
      </c>
      <c r="K8" s="109"/>
      <c r="L8" s="109"/>
      <c r="M8" s="110"/>
      <c r="N8" s="110"/>
    </row>
    <row r="9" ht="11.25" customHeight="1" thickBot="1"/>
    <row r="10" spans="1:15" ht="13.5" customHeight="1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  <c r="K10" s="112"/>
      <c r="L10" s="112"/>
      <c r="M10" s="112"/>
      <c r="N10" s="138" t="s">
        <v>194</v>
      </c>
      <c r="O10"/>
    </row>
    <row r="11" spans="1:15" ht="15.75" customHeight="1">
      <c r="A11" s="356" t="s">
        <v>323</v>
      </c>
      <c r="B11" s="356"/>
      <c r="C11" s="356"/>
      <c r="D11" s="356"/>
      <c r="E11" s="356"/>
      <c r="F11" s="356"/>
      <c r="G11" s="356"/>
      <c r="H11" s="356"/>
      <c r="I11" s="356"/>
      <c r="J11" s="357"/>
      <c r="K11" s="357"/>
      <c r="L11" s="348" t="s">
        <v>195</v>
      </c>
      <c r="M11" s="348"/>
      <c r="N11" s="139" t="s">
        <v>196</v>
      </c>
      <c r="O11"/>
    </row>
    <row r="12" spans="1:15" ht="1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132"/>
      <c r="K12" s="132"/>
      <c r="L12" s="348" t="s">
        <v>197</v>
      </c>
      <c r="M12" s="348"/>
      <c r="N12" s="140"/>
      <c r="O12"/>
    </row>
    <row r="13" spans="1:15" ht="12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32"/>
      <c r="K13" s="132"/>
      <c r="L13" s="348" t="s">
        <v>198</v>
      </c>
      <c r="M13" s="348"/>
      <c r="N13" s="141"/>
      <c r="O13"/>
    </row>
    <row r="14" spans="1:15" ht="12.75" customHeight="1">
      <c r="A14" s="113" t="s">
        <v>199</v>
      </c>
      <c r="B14" s="113"/>
      <c r="C14" s="113"/>
      <c r="D14" s="114" t="s">
        <v>310</v>
      </c>
      <c r="E14" s="114"/>
      <c r="F14" s="114"/>
      <c r="G14" s="114"/>
      <c r="H14" s="114"/>
      <c r="I14" s="113"/>
      <c r="J14" s="132"/>
      <c r="K14" s="132"/>
      <c r="L14" s="348" t="s">
        <v>200</v>
      </c>
      <c r="M14" s="348"/>
      <c r="N14" s="142"/>
      <c r="O14"/>
    </row>
    <row r="15" spans="1:15" ht="15" customHeight="1">
      <c r="A15" s="115" t="s">
        <v>201</v>
      </c>
      <c r="B15" s="115"/>
      <c r="C15" s="115"/>
      <c r="D15" s="115"/>
      <c r="E15" s="116" t="s">
        <v>225</v>
      </c>
      <c r="F15" s="116"/>
      <c r="G15" s="116"/>
      <c r="H15" s="116"/>
      <c r="I15" s="115"/>
      <c r="J15" s="132"/>
      <c r="K15" s="132"/>
      <c r="L15" s="348" t="s">
        <v>202</v>
      </c>
      <c r="M15" s="348"/>
      <c r="N15" s="140"/>
      <c r="O15"/>
    </row>
    <row r="16" spans="1:15" ht="13.5" customHeight="1">
      <c r="A16" s="113" t="s">
        <v>203</v>
      </c>
      <c r="B16" s="113"/>
      <c r="C16" s="114" t="s">
        <v>245</v>
      </c>
      <c r="D16" s="114"/>
      <c r="E16" s="114"/>
      <c r="F16" s="114"/>
      <c r="G16" s="114"/>
      <c r="H16" s="113"/>
      <c r="I16" s="113"/>
      <c r="J16" s="132"/>
      <c r="K16" s="132"/>
      <c r="L16" s="348" t="s">
        <v>204</v>
      </c>
      <c r="M16" s="348"/>
      <c r="N16" s="142"/>
      <c r="O16"/>
    </row>
    <row r="17" spans="1:15" ht="15" customHeight="1">
      <c r="A17" s="113" t="s">
        <v>205</v>
      </c>
      <c r="B17" s="113"/>
      <c r="C17" s="113"/>
      <c r="D17" s="113"/>
      <c r="E17" s="113"/>
      <c r="F17" s="113"/>
      <c r="G17" s="113"/>
      <c r="H17" s="113"/>
      <c r="I17" s="113"/>
      <c r="J17" s="132"/>
      <c r="K17" s="132"/>
      <c r="L17" s="348" t="s">
        <v>206</v>
      </c>
      <c r="M17" s="348"/>
      <c r="N17" s="143">
        <v>383</v>
      </c>
      <c r="O17"/>
    </row>
    <row r="18" spans="1:15" ht="13.5" customHeight="1" thickBot="1">
      <c r="A18" s="117"/>
      <c r="B18" s="117"/>
      <c r="C18" s="352"/>
      <c r="D18" s="352"/>
      <c r="E18" s="352"/>
      <c r="F18" s="352"/>
      <c r="G18" s="352"/>
      <c r="H18" s="352"/>
      <c r="I18" s="117"/>
      <c r="J18" s="132"/>
      <c r="K18" s="132"/>
      <c r="L18" s="348" t="s">
        <v>207</v>
      </c>
      <c r="M18" s="348"/>
      <c r="N18" s="144"/>
      <c r="O18"/>
    </row>
    <row r="19" spans="1:15" ht="10.5" customHeight="1">
      <c r="A19" s="118"/>
      <c r="B19" s="118"/>
      <c r="C19"/>
      <c r="D19"/>
      <c r="E19"/>
      <c r="F19"/>
      <c r="G19"/>
      <c r="H19"/>
      <c r="I19" s="118"/>
      <c r="J19" s="118"/>
      <c r="K19" s="119"/>
      <c r="L19" s="120"/>
      <c r="M19" s="120"/>
      <c r="O19"/>
    </row>
    <row r="20" spans="1:12" ht="11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21"/>
      <c r="L20" s="105"/>
    </row>
    <row r="21" spans="1:15" ht="18" customHeight="1">
      <c r="A21" s="328" t="s">
        <v>208</v>
      </c>
      <c r="B21" s="329"/>
      <c r="C21" s="330"/>
      <c r="D21" s="353" t="s">
        <v>224</v>
      </c>
      <c r="E21" s="360" t="s">
        <v>223</v>
      </c>
      <c r="F21" s="361"/>
      <c r="G21" s="361"/>
      <c r="H21" s="361"/>
      <c r="I21" s="361"/>
      <c r="J21" s="361"/>
      <c r="K21" s="362"/>
      <c r="L21" s="363" t="s">
        <v>242</v>
      </c>
      <c r="M21" s="363"/>
      <c r="N21" s="363" t="s">
        <v>243</v>
      </c>
      <c r="O21" s="363"/>
    </row>
    <row r="22" spans="1:15" ht="12.75" customHeight="1">
      <c r="A22" s="331"/>
      <c r="B22" s="332"/>
      <c r="C22" s="333"/>
      <c r="D22" s="354"/>
      <c r="E22" s="322" t="s">
        <v>209</v>
      </c>
      <c r="F22" s="122" t="s">
        <v>210</v>
      </c>
      <c r="G22" s="324" t="s">
        <v>211</v>
      </c>
      <c r="H22" s="325"/>
      <c r="I22" s="122" t="s">
        <v>212</v>
      </c>
      <c r="J22" s="328" t="s">
        <v>213</v>
      </c>
      <c r="K22" s="329"/>
      <c r="L22" s="328" t="s">
        <v>244</v>
      </c>
      <c r="M22" s="330"/>
      <c r="N22" s="328" t="s">
        <v>244</v>
      </c>
      <c r="O22" s="330"/>
    </row>
    <row r="23" spans="1:15" ht="12" customHeight="1">
      <c r="A23" s="334"/>
      <c r="B23" s="335"/>
      <c r="C23" s="336"/>
      <c r="D23" s="355"/>
      <c r="E23" s="323"/>
      <c r="F23" s="131" t="s">
        <v>214</v>
      </c>
      <c r="G23" s="326"/>
      <c r="H23" s="327"/>
      <c r="I23" s="131" t="s">
        <v>215</v>
      </c>
      <c r="J23" s="358"/>
      <c r="K23" s="359"/>
      <c r="L23" s="334"/>
      <c r="M23" s="336"/>
      <c r="N23" s="334"/>
      <c r="O23" s="336"/>
    </row>
    <row r="24" spans="1:15" ht="10.5" customHeight="1">
      <c r="A24" s="349">
        <v>1</v>
      </c>
      <c r="B24" s="350"/>
      <c r="C24" s="351"/>
      <c r="D24" s="102">
        <v>2</v>
      </c>
      <c r="E24" s="130">
        <v>3</v>
      </c>
      <c r="F24" s="130">
        <v>4</v>
      </c>
      <c r="G24" s="349">
        <v>5</v>
      </c>
      <c r="H24" s="351"/>
      <c r="I24" s="130">
        <v>6</v>
      </c>
      <c r="J24" s="349">
        <v>7</v>
      </c>
      <c r="K24" s="351"/>
      <c r="L24" s="349">
        <v>8</v>
      </c>
      <c r="M24" s="351"/>
      <c r="N24" s="349">
        <v>8</v>
      </c>
      <c r="O24" s="351"/>
    </row>
    <row r="25" spans="1:16" ht="18" customHeight="1">
      <c r="A25" s="293" t="s">
        <v>74</v>
      </c>
      <c r="B25" s="294"/>
      <c r="C25" s="295"/>
      <c r="D25" s="124"/>
      <c r="E25" s="124"/>
      <c r="F25" s="124"/>
      <c r="G25" s="290"/>
      <c r="H25" s="291"/>
      <c r="I25" s="124"/>
      <c r="J25" s="290"/>
      <c r="K25" s="291"/>
      <c r="L25" s="308">
        <f>SUM(L27:M33)</f>
        <v>3547315.3396201143</v>
      </c>
      <c r="M25" s="309"/>
      <c r="N25" s="308">
        <f>SUM(N27:O33)</f>
        <v>4529500</v>
      </c>
      <c r="O25" s="309"/>
      <c r="P25" s="190"/>
    </row>
    <row r="26" spans="1:15" ht="9" customHeight="1">
      <c r="A26" s="301" t="s">
        <v>75</v>
      </c>
      <c r="B26" s="302"/>
      <c r="C26" s="303"/>
      <c r="D26" s="124"/>
      <c r="E26" s="123"/>
      <c r="F26" s="124"/>
      <c r="G26" s="290"/>
      <c r="H26" s="281"/>
      <c r="I26" s="124"/>
      <c r="J26" s="290"/>
      <c r="K26" s="281"/>
      <c r="L26" s="280"/>
      <c r="M26" s="281"/>
      <c r="N26" s="280"/>
      <c r="O26" s="281"/>
    </row>
    <row r="27" spans="1:15" ht="15" customHeight="1">
      <c r="A27" s="284" t="s">
        <v>278</v>
      </c>
      <c r="B27" s="285"/>
      <c r="C27" s="286"/>
      <c r="D27" s="124"/>
      <c r="E27" s="133" t="s">
        <v>79</v>
      </c>
      <c r="F27" s="134" t="s">
        <v>89</v>
      </c>
      <c r="G27" s="282" t="s">
        <v>357</v>
      </c>
      <c r="H27" s="292"/>
      <c r="I27" s="134" t="s">
        <v>302</v>
      </c>
      <c r="J27" s="282">
        <v>211</v>
      </c>
      <c r="K27" s="283"/>
      <c r="L27" s="280">
        <v>0</v>
      </c>
      <c r="M27" s="281"/>
      <c r="N27" s="280">
        <v>360000</v>
      </c>
      <c r="O27" s="281"/>
    </row>
    <row r="28" spans="1:16" ht="15" customHeight="1">
      <c r="A28" s="284" t="s">
        <v>265</v>
      </c>
      <c r="B28" s="285"/>
      <c r="C28" s="286"/>
      <c r="D28" s="124"/>
      <c r="E28" s="133" t="s">
        <v>79</v>
      </c>
      <c r="F28" s="134" t="s">
        <v>89</v>
      </c>
      <c r="G28" s="282" t="s">
        <v>368</v>
      </c>
      <c r="H28" s="283"/>
      <c r="I28" s="134" t="s">
        <v>302</v>
      </c>
      <c r="J28" s="282">
        <v>211</v>
      </c>
      <c r="K28" s="283"/>
      <c r="L28" s="280">
        <f>'211-213'!D19</f>
        <v>2638586.973594558</v>
      </c>
      <c r="M28" s="281"/>
      <c r="N28" s="280">
        <v>3100000</v>
      </c>
      <c r="O28" s="281"/>
      <c r="P28" s="190">
        <f>N28-L28</f>
        <v>461413.02640544204</v>
      </c>
    </row>
    <row r="29" spans="1:15" ht="15" customHeight="1">
      <c r="A29" s="284" t="s">
        <v>279</v>
      </c>
      <c r="B29" s="285"/>
      <c r="C29" s="286"/>
      <c r="D29" s="124"/>
      <c r="E29" s="133" t="s">
        <v>79</v>
      </c>
      <c r="F29" s="134" t="s">
        <v>89</v>
      </c>
      <c r="G29" s="282" t="s">
        <v>357</v>
      </c>
      <c r="H29" s="292"/>
      <c r="I29" s="134" t="s">
        <v>303</v>
      </c>
      <c r="J29" s="282">
        <v>212</v>
      </c>
      <c r="K29" s="283"/>
      <c r="L29" s="280">
        <f>'211-213'!G35</f>
        <v>0</v>
      </c>
      <c r="M29" s="281"/>
      <c r="N29" s="280">
        <v>0</v>
      </c>
      <c r="O29" s="281"/>
    </row>
    <row r="30" spans="1:15" ht="15" customHeight="1">
      <c r="A30" s="284" t="s">
        <v>266</v>
      </c>
      <c r="B30" s="285"/>
      <c r="C30" s="286"/>
      <c r="D30" s="124"/>
      <c r="E30" s="133" t="s">
        <v>79</v>
      </c>
      <c r="F30" s="134" t="s">
        <v>89</v>
      </c>
      <c r="G30" s="282" t="s">
        <v>368</v>
      </c>
      <c r="H30" s="283"/>
      <c r="I30" s="134" t="s">
        <v>303</v>
      </c>
      <c r="J30" s="282">
        <v>212</v>
      </c>
      <c r="K30" s="283"/>
      <c r="L30" s="280">
        <f>'211-213'!H35-'211-213'!H33</f>
        <v>33190</v>
      </c>
      <c r="M30" s="281"/>
      <c r="N30" s="280">
        <v>3700</v>
      </c>
      <c r="O30" s="281"/>
    </row>
    <row r="31" spans="1:15" ht="15" customHeight="1">
      <c r="A31" s="287" t="s">
        <v>267</v>
      </c>
      <c r="B31" s="288"/>
      <c r="C31" s="289"/>
      <c r="D31" s="256"/>
      <c r="E31" s="257" t="s">
        <v>79</v>
      </c>
      <c r="F31" s="258" t="s">
        <v>89</v>
      </c>
      <c r="G31" s="304" t="s">
        <v>369</v>
      </c>
      <c r="H31" s="305"/>
      <c r="I31" s="258" t="s">
        <v>303</v>
      </c>
      <c r="J31" s="304">
        <v>212</v>
      </c>
      <c r="K31" s="305"/>
      <c r="L31" s="346">
        <f>'211-213'!H33</f>
        <v>81705.1</v>
      </c>
      <c r="M31" s="347"/>
      <c r="N31" s="346">
        <v>20000</v>
      </c>
      <c r="O31" s="347"/>
    </row>
    <row r="32" spans="1:15" ht="15" customHeight="1">
      <c r="A32" s="284" t="s">
        <v>280</v>
      </c>
      <c r="B32" s="285"/>
      <c r="C32" s="286"/>
      <c r="D32" s="124"/>
      <c r="E32" s="133" t="s">
        <v>79</v>
      </c>
      <c r="F32" s="134" t="s">
        <v>89</v>
      </c>
      <c r="G32" s="282" t="s">
        <v>357</v>
      </c>
      <c r="H32" s="292"/>
      <c r="I32" s="134" t="s">
        <v>302</v>
      </c>
      <c r="J32" s="282">
        <v>213</v>
      </c>
      <c r="K32" s="283"/>
      <c r="L32" s="280">
        <f>'211-213'!F22</f>
        <v>0</v>
      </c>
      <c r="M32" s="281"/>
      <c r="N32" s="280">
        <v>108800</v>
      </c>
      <c r="O32" s="281"/>
    </row>
    <row r="33" spans="1:16" ht="15" customHeight="1">
      <c r="A33" s="284" t="s">
        <v>268</v>
      </c>
      <c r="B33" s="285"/>
      <c r="C33" s="286"/>
      <c r="D33" s="124"/>
      <c r="E33" s="133" t="s">
        <v>79</v>
      </c>
      <c r="F33" s="134" t="s">
        <v>89</v>
      </c>
      <c r="G33" s="282" t="s">
        <v>368</v>
      </c>
      <c r="H33" s="283"/>
      <c r="I33" s="134" t="s">
        <v>302</v>
      </c>
      <c r="J33" s="282">
        <v>213</v>
      </c>
      <c r="K33" s="283"/>
      <c r="L33" s="280">
        <f>'211-213'!F19-'211-213'!F22-'211-213'!F23</f>
        <v>793833.2660255565</v>
      </c>
      <c r="M33" s="281"/>
      <c r="N33" s="280">
        <v>937000</v>
      </c>
      <c r="O33" s="281"/>
      <c r="P33" s="190"/>
    </row>
    <row r="34" spans="1:15" ht="15.75" customHeight="1">
      <c r="A34" s="293" t="s">
        <v>76</v>
      </c>
      <c r="B34" s="294"/>
      <c r="C34" s="295"/>
      <c r="D34" s="124"/>
      <c r="E34" s="135"/>
      <c r="F34" s="136"/>
      <c r="G34" s="282"/>
      <c r="H34" s="283"/>
      <c r="I34" s="136"/>
      <c r="J34" s="282"/>
      <c r="K34" s="283"/>
      <c r="L34" s="308">
        <f>SUM(L36:M45)</f>
        <v>601216.3966</v>
      </c>
      <c r="M34" s="309"/>
      <c r="N34" s="308">
        <f>SUM(N36:O45)</f>
        <v>301200</v>
      </c>
      <c r="O34" s="309"/>
    </row>
    <row r="35" spans="1:15" ht="9" customHeight="1">
      <c r="A35" s="301" t="s">
        <v>75</v>
      </c>
      <c r="B35" s="302"/>
      <c r="C35" s="303"/>
      <c r="D35" s="124"/>
      <c r="E35" s="123"/>
      <c r="F35" s="124"/>
      <c r="G35" s="290"/>
      <c r="H35" s="281"/>
      <c r="I35" s="124"/>
      <c r="J35" s="290"/>
      <c r="K35" s="281"/>
      <c r="L35" s="280"/>
      <c r="M35" s="281"/>
      <c r="N35" s="280"/>
      <c r="O35" s="281"/>
    </row>
    <row r="36" spans="1:15" ht="15" customHeight="1">
      <c r="A36" s="284" t="s">
        <v>281</v>
      </c>
      <c r="B36" s="285"/>
      <c r="C36" s="286"/>
      <c r="D36" s="124"/>
      <c r="E36" s="133" t="s">
        <v>79</v>
      </c>
      <c r="F36" s="134" t="s">
        <v>89</v>
      </c>
      <c r="G36" s="282" t="s">
        <v>357</v>
      </c>
      <c r="H36" s="292"/>
      <c r="I36" s="134" t="s">
        <v>304</v>
      </c>
      <c r="J36" s="282">
        <v>221</v>
      </c>
      <c r="K36" s="283"/>
      <c r="L36" s="280">
        <f>'221-223'!G15</f>
        <v>7638.8616</v>
      </c>
      <c r="M36" s="281"/>
      <c r="N36" s="702">
        <v>7000</v>
      </c>
      <c r="O36" s="703"/>
    </row>
    <row r="37" spans="1:15" ht="15" customHeight="1">
      <c r="A37" s="284" t="s">
        <v>269</v>
      </c>
      <c r="B37" s="285"/>
      <c r="C37" s="286"/>
      <c r="D37" s="124"/>
      <c r="E37" s="133" t="s">
        <v>79</v>
      </c>
      <c r="F37" s="134" t="s">
        <v>89</v>
      </c>
      <c r="G37" s="282" t="s">
        <v>368</v>
      </c>
      <c r="H37" s="283"/>
      <c r="I37" s="134" t="s">
        <v>304</v>
      </c>
      <c r="J37" s="282">
        <v>221</v>
      </c>
      <c r="K37" s="283"/>
      <c r="L37" s="280">
        <f>'221-223'!H15</f>
        <v>60000</v>
      </c>
      <c r="M37" s="281"/>
      <c r="N37" s="702">
        <v>55000</v>
      </c>
      <c r="O37" s="703"/>
    </row>
    <row r="38" spans="1:15" ht="15" customHeight="1">
      <c r="A38" s="284" t="s">
        <v>270</v>
      </c>
      <c r="B38" s="285"/>
      <c r="C38" s="286"/>
      <c r="D38" s="124"/>
      <c r="E38" s="133" t="s">
        <v>79</v>
      </c>
      <c r="F38" s="134" t="s">
        <v>89</v>
      </c>
      <c r="G38" s="282" t="s">
        <v>368</v>
      </c>
      <c r="H38" s="283"/>
      <c r="I38" s="134" t="s">
        <v>303</v>
      </c>
      <c r="J38" s="282">
        <v>222</v>
      </c>
      <c r="K38" s="283"/>
      <c r="L38" s="280">
        <f>'221-223'!H24</f>
        <v>7600</v>
      </c>
      <c r="M38" s="281"/>
      <c r="N38" s="280">
        <v>2000</v>
      </c>
      <c r="O38" s="281"/>
    </row>
    <row r="39" spans="1:15" ht="15" customHeight="1">
      <c r="A39" s="284" t="s">
        <v>282</v>
      </c>
      <c r="B39" s="285"/>
      <c r="C39" s="286"/>
      <c r="D39" s="124"/>
      <c r="E39" s="133" t="s">
        <v>79</v>
      </c>
      <c r="F39" s="134" t="s">
        <v>89</v>
      </c>
      <c r="G39" s="282" t="s">
        <v>357</v>
      </c>
      <c r="H39" s="292"/>
      <c r="I39" s="134" t="s">
        <v>305</v>
      </c>
      <c r="J39" s="282">
        <v>223</v>
      </c>
      <c r="K39" s="283"/>
      <c r="L39" s="280">
        <f>'221-223'!E32-L40</f>
        <v>193536</v>
      </c>
      <c r="M39" s="281"/>
      <c r="N39" s="702">
        <v>163000</v>
      </c>
      <c r="O39" s="703"/>
    </row>
    <row r="40" spans="1:15" ht="15" customHeight="1">
      <c r="A40" s="317" t="s">
        <v>322</v>
      </c>
      <c r="B40" s="318"/>
      <c r="C40" s="319"/>
      <c r="D40" s="214"/>
      <c r="E40" s="215" t="s">
        <v>79</v>
      </c>
      <c r="F40" s="216" t="s">
        <v>89</v>
      </c>
      <c r="G40" s="315" t="s">
        <v>358</v>
      </c>
      <c r="H40" s="320"/>
      <c r="I40" s="216" t="s">
        <v>305</v>
      </c>
      <c r="J40" s="315">
        <v>223</v>
      </c>
      <c r="K40" s="316"/>
      <c r="L40" s="306">
        <v>0</v>
      </c>
      <c r="M40" s="307"/>
      <c r="N40" s="306"/>
      <c r="O40" s="307"/>
    </row>
    <row r="41" spans="1:15" ht="15" customHeight="1">
      <c r="A41" s="284" t="s">
        <v>283</v>
      </c>
      <c r="B41" s="285"/>
      <c r="C41" s="286"/>
      <c r="D41" s="124"/>
      <c r="E41" s="133" t="s">
        <v>79</v>
      </c>
      <c r="F41" s="134" t="s">
        <v>89</v>
      </c>
      <c r="G41" s="282" t="s">
        <v>357</v>
      </c>
      <c r="H41" s="292"/>
      <c r="I41" s="134" t="s">
        <v>305</v>
      </c>
      <c r="J41" s="282">
        <v>225</v>
      </c>
      <c r="K41" s="283"/>
      <c r="L41" s="280">
        <f>'225-226'!C12</f>
        <v>64267.53</v>
      </c>
      <c r="M41" s="281"/>
      <c r="N41" s="702">
        <v>10000</v>
      </c>
      <c r="O41" s="703"/>
    </row>
    <row r="42" spans="1:15" ht="15" customHeight="1">
      <c r="A42" s="284" t="s">
        <v>271</v>
      </c>
      <c r="B42" s="285"/>
      <c r="C42" s="286"/>
      <c r="D42" s="124"/>
      <c r="E42" s="133" t="s">
        <v>79</v>
      </c>
      <c r="F42" s="134" t="s">
        <v>89</v>
      </c>
      <c r="G42" s="282" t="s">
        <v>368</v>
      </c>
      <c r="H42" s="283"/>
      <c r="I42" s="134" t="s">
        <v>305</v>
      </c>
      <c r="J42" s="282">
        <v>225</v>
      </c>
      <c r="K42" s="283"/>
      <c r="L42" s="280">
        <f>'225-226'!D12</f>
        <v>0</v>
      </c>
      <c r="M42" s="281"/>
      <c r="N42" s="280">
        <v>0</v>
      </c>
      <c r="O42" s="281"/>
    </row>
    <row r="43" spans="1:15" ht="15" customHeight="1">
      <c r="A43" s="284" t="s">
        <v>284</v>
      </c>
      <c r="B43" s="285"/>
      <c r="C43" s="286"/>
      <c r="D43" s="124"/>
      <c r="E43" s="133" t="s">
        <v>79</v>
      </c>
      <c r="F43" s="134" t="s">
        <v>89</v>
      </c>
      <c r="G43" s="282" t="s">
        <v>357</v>
      </c>
      <c r="H43" s="292"/>
      <c r="I43" s="134" t="s">
        <v>305</v>
      </c>
      <c r="J43" s="282">
        <v>226</v>
      </c>
      <c r="K43" s="283"/>
      <c r="L43" s="280">
        <f>'225-226'!C30</f>
        <v>117639.68000000001</v>
      </c>
      <c r="M43" s="281"/>
      <c r="N43" s="702">
        <v>23000</v>
      </c>
      <c r="O43" s="703"/>
    </row>
    <row r="44" spans="1:15" ht="15" customHeight="1">
      <c r="A44" s="284" t="s">
        <v>272</v>
      </c>
      <c r="B44" s="285"/>
      <c r="C44" s="286"/>
      <c r="D44" s="124"/>
      <c r="E44" s="133" t="s">
        <v>79</v>
      </c>
      <c r="F44" s="134" t="s">
        <v>89</v>
      </c>
      <c r="G44" s="282" t="s">
        <v>368</v>
      </c>
      <c r="H44" s="283"/>
      <c r="I44" s="134" t="s">
        <v>303</v>
      </c>
      <c r="J44" s="282">
        <v>226</v>
      </c>
      <c r="K44" s="283"/>
      <c r="L44" s="280">
        <f>'225-226'!D18</f>
        <v>14000</v>
      </c>
      <c r="M44" s="281"/>
      <c r="N44" s="280">
        <v>6000</v>
      </c>
      <c r="O44" s="281"/>
    </row>
    <row r="45" spans="1:15" ht="15" customHeight="1">
      <c r="A45" s="284" t="s">
        <v>272</v>
      </c>
      <c r="B45" s="285"/>
      <c r="C45" s="286"/>
      <c r="D45" s="124"/>
      <c r="E45" s="133" t="s">
        <v>79</v>
      </c>
      <c r="F45" s="134" t="s">
        <v>89</v>
      </c>
      <c r="G45" s="282" t="s">
        <v>368</v>
      </c>
      <c r="H45" s="283"/>
      <c r="I45" s="134" t="s">
        <v>305</v>
      </c>
      <c r="J45" s="282">
        <v>226</v>
      </c>
      <c r="K45" s="283"/>
      <c r="L45" s="280">
        <f>'225-226'!D30-'225-226'!D18</f>
        <v>136534.325</v>
      </c>
      <c r="M45" s="281"/>
      <c r="N45" s="702">
        <v>35200</v>
      </c>
      <c r="O45" s="703"/>
    </row>
    <row r="46" spans="1:15" ht="15" customHeight="1">
      <c r="A46" s="293" t="s">
        <v>228</v>
      </c>
      <c r="B46" s="294"/>
      <c r="C46" s="295"/>
      <c r="D46" s="124"/>
      <c r="E46" s="124"/>
      <c r="F46" s="124"/>
      <c r="G46" s="290"/>
      <c r="H46" s="291"/>
      <c r="I46" s="124"/>
      <c r="J46" s="290"/>
      <c r="K46" s="291"/>
      <c r="L46" s="308">
        <f>SUM(L48:M49)</f>
        <v>1224640.1879999998</v>
      </c>
      <c r="M46" s="309"/>
      <c r="N46" s="308">
        <f>SUM(N48:O49)</f>
        <v>0</v>
      </c>
      <c r="O46" s="309"/>
    </row>
    <row r="47" spans="1:15" ht="11.25" customHeight="1">
      <c r="A47" s="301" t="s">
        <v>75</v>
      </c>
      <c r="B47" s="302"/>
      <c r="C47" s="303"/>
      <c r="D47" s="124"/>
      <c r="E47" s="123"/>
      <c r="F47" s="124"/>
      <c r="G47" s="290"/>
      <c r="H47" s="281"/>
      <c r="I47" s="124"/>
      <c r="J47" s="290"/>
      <c r="K47" s="281"/>
      <c r="L47" s="280"/>
      <c r="M47" s="281"/>
      <c r="N47" s="280"/>
      <c r="O47" s="281"/>
    </row>
    <row r="48" spans="1:15" ht="15" customHeight="1">
      <c r="A48" s="284" t="s">
        <v>273</v>
      </c>
      <c r="B48" s="285"/>
      <c r="C48" s="286"/>
      <c r="D48" s="124"/>
      <c r="E48" s="133" t="s">
        <v>226</v>
      </c>
      <c r="F48" s="134" t="s">
        <v>227</v>
      </c>
      <c r="G48" s="282"/>
      <c r="H48" s="283"/>
      <c r="I48" s="134" t="s">
        <v>307</v>
      </c>
      <c r="J48" s="282">
        <v>262</v>
      </c>
      <c r="K48" s="283"/>
      <c r="L48" s="280">
        <f>'262-310'!H4</f>
        <v>29925</v>
      </c>
      <c r="M48" s="281"/>
      <c r="N48" s="280">
        <v>0</v>
      </c>
      <c r="O48" s="281"/>
    </row>
    <row r="49" spans="1:15" ht="15" customHeight="1">
      <c r="A49" s="284" t="s">
        <v>372</v>
      </c>
      <c r="B49" s="285"/>
      <c r="C49" s="286"/>
      <c r="D49" s="124"/>
      <c r="E49" s="133" t="s">
        <v>226</v>
      </c>
      <c r="F49" s="134" t="s">
        <v>229</v>
      </c>
      <c r="G49" s="282" t="s">
        <v>368</v>
      </c>
      <c r="H49" s="283"/>
      <c r="I49" s="134" t="s">
        <v>303</v>
      </c>
      <c r="J49" s="282">
        <v>262</v>
      </c>
      <c r="K49" s="283"/>
      <c r="L49" s="280">
        <f>'262-310'!H5</f>
        <v>1194715.1879999998</v>
      </c>
      <c r="M49" s="281"/>
      <c r="N49" s="280">
        <v>0</v>
      </c>
      <c r="O49" s="281"/>
    </row>
    <row r="50" spans="1:15" ht="15" customHeight="1">
      <c r="A50" s="293" t="s">
        <v>48</v>
      </c>
      <c r="B50" s="294"/>
      <c r="C50" s="295"/>
      <c r="D50" s="124"/>
      <c r="E50" s="124"/>
      <c r="F50" s="124"/>
      <c r="G50" s="290"/>
      <c r="H50" s="291"/>
      <c r="I50" s="124"/>
      <c r="J50" s="290"/>
      <c r="K50" s="291"/>
      <c r="L50" s="308">
        <f>SUM(L52:M53)</f>
        <v>368</v>
      </c>
      <c r="M50" s="309"/>
      <c r="N50" s="308">
        <f>SUM(N52:O53)</f>
        <v>400</v>
      </c>
      <c r="O50" s="309"/>
    </row>
    <row r="51" spans="1:15" ht="9" customHeight="1">
      <c r="A51" s="301" t="s">
        <v>75</v>
      </c>
      <c r="B51" s="302"/>
      <c r="C51" s="303"/>
      <c r="D51" s="124"/>
      <c r="E51" s="123"/>
      <c r="F51" s="124"/>
      <c r="G51" s="290"/>
      <c r="H51" s="281"/>
      <c r="I51" s="124"/>
      <c r="J51" s="290"/>
      <c r="K51" s="281"/>
      <c r="L51" s="280"/>
      <c r="M51" s="281"/>
      <c r="N51" s="280"/>
      <c r="O51" s="281"/>
    </row>
    <row r="52" spans="1:15" ht="15" customHeight="1">
      <c r="A52" s="284" t="s">
        <v>285</v>
      </c>
      <c r="B52" s="285"/>
      <c r="C52" s="286"/>
      <c r="D52" s="124"/>
      <c r="E52" s="133" t="s">
        <v>79</v>
      </c>
      <c r="F52" s="134" t="s">
        <v>89</v>
      </c>
      <c r="G52" s="282" t="s">
        <v>357</v>
      </c>
      <c r="H52" s="292"/>
      <c r="I52" s="134" t="s">
        <v>306</v>
      </c>
      <c r="J52" s="282">
        <v>290</v>
      </c>
      <c r="K52" s="283"/>
      <c r="L52" s="280">
        <f>'262-310'!H18</f>
        <v>368</v>
      </c>
      <c r="M52" s="281"/>
      <c r="N52" s="280">
        <v>400</v>
      </c>
      <c r="O52" s="281"/>
    </row>
    <row r="53" spans="1:15" ht="15" customHeight="1">
      <c r="A53" s="284" t="s">
        <v>274</v>
      </c>
      <c r="B53" s="285"/>
      <c r="C53" s="286"/>
      <c r="D53" s="124"/>
      <c r="E53" s="133" t="s">
        <v>79</v>
      </c>
      <c r="F53" s="134" t="s">
        <v>89</v>
      </c>
      <c r="G53" s="282" t="s">
        <v>368</v>
      </c>
      <c r="H53" s="283"/>
      <c r="I53" s="134" t="s">
        <v>305</v>
      </c>
      <c r="J53" s="282">
        <v>290</v>
      </c>
      <c r="K53" s="283"/>
      <c r="L53" s="280">
        <v>0</v>
      </c>
      <c r="M53" s="281"/>
      <c r="N53" s="280">
        <v>0</v>
      </c>
      <c r="O53" s="281"/>
    </row>
    <row r="54" spans="1:15" ht="16.5" customHeight="1">
      <c r="A54" s="293" t="s">
        <v>77</v>
      </c>
      <c r="B54" s="294"/>
      <c r="C54" s="295"/>
      <c r="D54" s="124"/>
      <c r="E54" s="124"/>
      <c r="F54" s="124"/>
      <c r="G54" s="290"/>
      <c r="H54" s="291"/>
      <c r="I54" s="124"/>
      <c r="J54" s="290"/>
      <c r="K54" s="291"/>
      <c r="L54" s="308">
        <f>SUM(L56:M59)</f>
        <v>56600</v>
      </c>
      <c r="M54" s="309"/>
      <c r="N54" s="308">
        <f>SUM(N56:O59)</f>
        <v>35000</v>
      </c>
      <c r="O54" s="309"/>
    </row>
    <row r="55" spans="1:15" ht="9.75" customHeight="1">
      <c r="A55" s="301" t="s">
        <v>75</v>
      </c>
      <c r="B55" s="302"/>
      <c r="C55" s="303"/>
      <c r="D55" s="124"/>
      <c r="E55" s="123"/>
      <c r="F55" s="124"/>
      <c r="G55" s="290"/>
      <c r="H55" s="281"/>
      <c r="I55" s="124"/>
      <c r="J55" s="290"/>
      <c r="K55" s="281"/>
      <c r="L55" s="280"/>
      <c r="M55" s="281"/>
      <c r="N55" s="280"/>
      <c r="O55" s="281"/>
    </row>
    <row r="56" spans="1:15" ht="15" customHeight="1">
      <c r="A56" s="284" t="s">
        <v>286</v>
      </c>
      <c r="B56" s="285"/>
      <c r="C56" s="286"/>
      <c r="D56" s="124"/>
      <c r="E56" s="133" t="s">
        <v>79</v>
      </c>
      <c r="F56" s="134" t="s">
        <v>89</v>
      </c>
      <c r="G56" s="282" t="s">
        <v>357</v>
      </c>
      <c r="H56" s="292"/>
      <c r="I56" s="134" t="s">
        <v>305</v>
      </c>
      <c r="J56" s="282">
        <v>310</v>
      </c>
      <c r="K56" s="283"/>
      <c r="L56" s="280">
        <f>'310-340'!H17-'310-340'!H18</f>
        <v>0</v>
      </c>
      <c r="M56" s="281"/>
      <c r="N56" s="280">
        <v>0</v>
      </c>
      <c r="O56" s="281"/>
    </row>
    <row r="57" spans="1:15" ht="15" customHeight="1">
      <c r="A57" s="284" t="s">
        <v>275</v>
      </c>
      <c r="B57" s="285"/>
      <c r="C57" s="286"/>
      <c r="D57" s="124"/>
      <c r="E57" s="133" t="s">
        <v>79</v>
      </c>
      <c r="F57" s="134" t="s">
        <v>89</v>
      </c>
      <c r="G57" s="282" t="s">
        <v>368</v>
      </c>
      <c r="H57" s="283"/>
      <c r="I57" s="134" t="s">
        <v>304</v>
      </c>
      <c r="J57" s="282">
        <v>310</v>
      </c>
      <c r="K57" s="283"/>
      <c r="L57" s="280">
        <f>'310-340'!H17-L58</f>
        <v>0</v>
      </c>
      <c r="M57" s="281"/>
      <c r="N57" s="280">
        <v>0</v>
      </c>
      <c r="O57" s="281"/>
    </row>
    <row r="58" spans="1:15" ht="15" customHeight="1">
      <c r="A58" s="284" t="s">
        <v>275</v>
      </c>
      <c r="B58" s="285"/>
      <c r="C58" s="286"/>
      <c r="D58" s="124"/>
      <c r="E58" s="133" t="s">
        <v>79</v>
      </c>
      <c r="F58" s="134" t="s">
        <v>89</v>
      </c>
      <c r="G58" s="282" t="s">
        <v>368</v>
      </c>
      <c r="H58" s="283"/>
      <c r="I58" s="134" t="s">
        <v>305</v>
      </c>
      <c r="J58" s="282">
        <v>310</v>
      </c>
      <c r="K58" s="283"/>
      <c r="L58" s="280">
        <f>'310-340'!H18-L59</f>
        <v>56600</v>
      </c>
      <c r="M58" s="281"/>
      <c r="N58" s="702">
        <v>35000</v>
      </c>
      <c r="O58" s="703"/>
    </row>
    <row r="59" spans="1:15" ht="15" customHeight="1">
      <c r="A59" s="298" t="s">
        <v>375</v>
      </c>
      <c r="B59" s="299"/>
      <c r="C59" s="300"/>
      <c r="D59" s="259"/>
      <c r="E59" s="260" t="s">
        <v>79</v>
      </c>
      <c r="F59" s="261" t="s">
        <v>89</v>
      </c>
      <c r="G59" s="296" t="s">
        <v>373</v>
      </c>
      <c r="H59" s="297"/>
      <c r="I59" s="261" t="s">
        <v>305</v>
      </c>
      <c r="J59" s="296">
        <v>310</v>
      </c>
      <c r="K59" s="297"/>
      <c r="L59" s="343">
        <v>0</v>
      </c>
      <c r="M59" s="344"/>
      <c r="N59" s="343">
        <v>0</v>
      </c>
      <c r="O59" s="344"/>
    </row>
    <row r="60" spans="1:15" ht="16.5" customHeight="1">
      <c r="A60" s="293" t="s">
        <v>78</v>
      </c>
      <c r="B60" s="294"/>
      <c r="C60" s="295"/>
      <c r="D60" s="124"/>
      <c r="E60" s="124"/>
      <c r="F60" s="124"/>
      <c r="G60" s="290"/>
      <c r="H60" s="291"/>
      <c r="I60" s="124"/>
      <c r="J60" s="290"/>
      <c r="K60" s="291"/>
      <c r="L60" s="308">
        <f>SUM(L62:M66)</f>
        <v>206712</v>
      </c>
      <c r="M60" s="309"/>
      <c r="N60" s="308">
        <f>SUM(N62:O66)</f>
        <v>52200</v>
      </c>
      <c r="O60" s="309"/>
    </row>
    <row r="61" spans="1:15" ht="10.5" customHeight="1">
      <c r="A61" s="301" t="s">
        <v>75</v>
      </c>
      <c r="B61" s="302"/>
      <c r="C61" s="303"/>
      <c r="D61" s="124"/>
      <c r="E61" s="123"/>
      <c r="F61" s="124"/>
      <c r="G61" s="290"/>
      <c r="H61" s="281"/>
      <c r="I61" s="124"/>
      <c r="J61" s="290"/>
      <c r="K61" s="281"/>
      <c r="L61" s="280"/>
      <c r="M61" s="281"/>
      <c r="N61" s="280"/>
      <c r="O61" s="281"/>
    </row>
    <row r="62" spans="1:15" ht="15" customHeight="1">
      <c r="A62" s="284" t="s">
        <v>287</v>
      </c>
      <c r="B62" s="285"/>
      <c r="C62" s="286"/>
      <c r="D62" s="124"/>
      <c r="E62" s="133" t="s">
        <v>79</v>
      </c>
      <c r="F62" s="134" t="s">
        <v>89</v>
      </c>
      <c r="G62" s="282" t="s">
        <v>357</v>
      </c>
      <c r="H62" s="292"/>
      <c r="I62" s="134" t="s">
        <v>305</v>
      </c>
      <c r="J62" s="282">
        <v>340</v>
      </c>
      <c r="K62" s="283"/>
      <c r="L62" s="280">
        <f>'340'!C22-L63</f>
        <v>164475</v>
      </c>
      <c r="M62" s="281"/>
      <c r="N62" s="702">
        <v>5000</v>
      </c>
      <c r="O62" s="703"/>
    </row>
    <row r="63" spans="1:15" ht="15" customHeight="1">
      <c r="A63" s="310" t="s">
        <v>309</v>
      </c>
      <c r="B63" s="311"/>
      <c r="C63" s="312"/>
      <c r="D63" s="253"/>
      <c r="E63" s="254" t="s">
        <v>79</v>
      </c>
      <c r="F63" s="255" t="s">
        <v>89</v>
      </c>
      <c r="G63" s="313" t="s">
        <v>357</v>
      </c>
      <c r="H63" s="314"/>
      <c r="I63" s="255" t="s">
        <v>305</v>
      </c>
      <c r="J63" s="313">
        <v>340</v>
      </c>
      <c r="K63" s="345"/>
      <c r="L63" s="341">
        <f>'340'!C16</f>
        <v>0</v>
      </c>
      <c r="M63" s="342"/>
      <c r="N63" s="341">
        <v>42200</v>
      </c>
      <c r="O63" s="342"/>
    </row>
    <row r="64" spans="1:15" ht="15" customHeight="1">
      <c r="A64" s="284" t="s">
        <v>276</v>
      </c>
      <c r="B64" s="285"/>
      <c r="C64" s="286"/>
      <c r="D64" s="124"/>
      <c r="E64" s="133" t="s">
        <v>79</v>
      </c>
      <c r="F64" s="134" t="s">
        <v>89</v>
      </c>
      <c r="G64" s="282" t="s">
        <v>368</v>
      </c>
      <c r="H64" s="283"/>
      <c r="I64" s="134" t="s">
        <v>304</v>
      </c>
      <c r="J64" s="282">
        <v>340</v>
      </c>
      <c r="K64" s="283"/>
      <c r="L64" s="280">
        <f>'340'!D6</f>
        <v>21000</v>
      </c>
      <c r="M64" s="281"/>
      <c r="N64" s="280">
        <v>0</v>
      </c>
      <c r="O64" s="281"/>
    </row>
    <row r="65" spans="1:15" ht="15" customHeight="1">
      <c r="A65" s="284" t="s">
        <v>276</v>
      </c>
      <c r="B65" s="285"/>
      <c r="C65" s="286"/>
      <c r="D65" s="124"/>
      <c r="E65" s="133" t="s">
        <v>79</v>
      </c>
      <c r="F65" s="134" t="s">
        <v>89</v>
      </c>
      <c r="G65" s="282" t="s">
        <v>368</v>
      </c>
      <c r="H65" s="283"/>
      <c r="I65" s="134" t="s">
        <v>305</v>
      </c>
      <c r="J65" s="282">
        <v>340</v>
      </c>
      <c r="K65" s="283"/>
      <c r="L65" s="280">
        <f>'340'!D22-L64</f>
        <v>10800</v>
      </c>
      <c r="M65" s="281"/>
      <c r="N65" s="702">
        <v>5000</v>
      </c>
      <c r="O65" s="703"/>
    </row>
    <row r="66" spans="1:15" ht="15" customHeight="1">
      <c r="A66" s="284" t="s">
        <v>277</v>
      </c>
      <c r="B66" s="285"/>
      <c r="C66" s="286"/>
      <c r="D66" s="124"/>
      <c r="E66" s="133" t="s">
        <v>79</v>
      </c>
      <c r="F66" s="134" t="s">
        <v>89</v>
      </c>
      <c r="G66" s="282" t="s">
        <v>371</v>
      </c>
      <c r="H66" s="292"/>
      <c r="I66" s="134" t="s">
        <v>305</v>
      </c>
      <c r="J66" s="282">
        <v>340</v>
      </c>
      <c r="K66" s="283"/>
      <c r="L66" s="280">
        <f>'310-340'!H36</f>
        <v>10437</v>
      </c>
      <c r="M66" s="281"/>
      <c r="N66" s="280">
        <v>0</v>
      </c>
      <c r="O66" s="281"/>
    </row>
    <row r="67" spans="10:15" ht="21" customHeight="1">
      <c r="J67" s="376" t="s">
        <v>216</v>
      </c>
      <c r="K67" s="376"/>
      <c r="L67" s="374">
        <f>L25+L34+L46+L50+L54+L60</f>
        <v>5636851.924220114</v>
      </c>
      <c r="M67" s="375"/>
      <c r="N67" s="374">
        <f>N25+N34+N46+N50+N54+N60</f>
        <v>4918300</v>
      </c>
      <c r="O67" s="375"/>
    </row>
    <row r="68" spans="1:16" ht="17.25" customHeight="1" thickBot="1">
      <c r="A68" s="125" t="s">
        <v>90</v>
      </c>
      <c r="B68" s="125"/>
      <c r="C68" s="125"/>
      <c r="N68" s="194">
        <f>L67-'211-213'!D19-'211-213'!F19-'211-213'!G35-'211-213'!H35-'221-223'!G15-'221-223'!H15-'221-223'!G24-'221-223'!H24-'221-223'!E32-'225-226'!C12-'225-226'!D12-'225-226'!C30-'225-226'!D30-'262-310'!H9-'262-310'!H18-'310-340'!H17-'310-340'!H36-'340'!C22-'340'!D22</f>
        <v>-4.656612873077393E-10</v>
      </c>
      <c r="P68" s="190">
        <f>4918300-N67</f>
        <v>0</v>
      </c>
    </row>
    <row r="69" spans="1:14" ht="20.25" customHeight="1">
      <c r="A69" s="321" t="s">
        <v>217</v>
      </c>
      <c r="B69" s="321"/>
      <c r="C69" s="321"/>
      <c r="D69" s="340" t="s">
        <v>232</v>
      </c>
      <c r="E69" s="340"/>
      <c r="F69" s="137"/>
      <c r="G69" s="137"/>
      <c r="H69" s="137"/>
      <c r="I69" s="128" t="s">
        <v>230</v>
      </c>
      <c r="J69" s="137"/>
      <c r="K69" s="137"/>
      <c r="L69" s="125" t="s">
        <v>218</v>
      </c>
      <c r="M69" s="125"/>
      <c r="N69" s="126">
        <v>1</v>
      </c>
    </row>
    <row r="70" spans="1:14" ht="15" customHeight="1" thickBot="1">
      <c r="A70" s="118"/>
      <c r="B70" s="118"/>
      <c r="C70" s="118"/>
      <c r="D70" s="339" t="s">
        <v>231</v>
      </c>
      <c r="E70" s="339"/>
      <c r="F70" s="339"/>
      <c r="G70" s="339"/>
      <c r="H70" s="339"/>
      <c r="I70" s="339"/>
      <c r="J70" s="339"/>
      <c r="K70" s="339"/>
      <c r="L70" s="125" t="s">
        <v>219</v>
      </c>
      <c r="M70" s="125"/>
      <c r="N70" s="127">
        <v>2</v>
      </c>
    </row>
    <row r="71" spans="1:10" ht="20.25" customHeight="1">
      <c r="A71" s="321" t="s">
        <v>220</v>
      </c>
      <c r="B71" s="321"/>
      <c r="C71" s="321"/>
      <c r="D71" s="125" t="s">
        <v>221</v>
      </c>
      <c r="E71" s="125"/>
      <c r="H71" s="337" t="s">
        <v>233</v>
      </c>
      <c r="I71" s="337"/>
      <c r="J71" s="337"/>
    </row>
    <row r="72" spans="1:10" ht="15" customHeight="1">
      <c r="A72" s="321" t="s">
        <v>222</v>
      </c>
      <c r="B72" s="321"/>
      <c r="C72" s="321"/>
      <c r="D72" s="339" t="s">
        <v>235</v>
      </c>
      <c r="E72" s="339"/>
      <c r="F72" s="339"/>
      <c r="G72" s="103"/>
      <c r="H72" s="338" t="s">
        <v>234</v>
      </c>
      <c r="I72" s="338"/>
      <c r="J72" s="338"/>
    </row>
    <row r="73" spans="1:15" ht="9.75" customHeight="1">
      <c r="A73" s="118"/>
      <c r="B73" s="118"/>
      <c r="C73" s="118"/>
      <c r="D73" s="103"/>
      <c r="E73" s="103"/>
      <c r="F73" s="103"/>
      <c r="G73" s="103"/>
      <c r="H73" s="103"/>
      <c r="I73" s="103"/>
      <c r="M73"/>
      <c r="N73"/>
      <c r="O73"/>
    </row>
    <row r="74" spans="1:16" ht="19.5" customHeight="1">
      <c r="A74" s="321" t="s">
        <v>91</v>
      </c>
      <c r="B74" s="321"/>
      <c r="C74" s="321"/>
      <c r="D74" s="337" t="s">
        <v>381</v>
      </c>
      <c r="E74" s="337"/>
      <c r="F74" s="337"/>
      <c r="G74" s="125"/>
      <c r="H74" s="128"/>
      <c r="I74" s="128"/>
      <c r="J74" s="125"/>
      <c r="K74" s="337" t="s">
        <v>233</v>
      </c>
      <c r="L74" s="337"/>
      <c r="M74" s="337"/>
      <c r="N74"/>
      <c r="O74"/>
      <c r="P74"/>
    </row>
    <row r="75" spans="1:16" ht="12" customHeight="1">
      <c r="A75" s="118"/>
      <c r="B75" s="118"/>
      <c r="C75" s="118"/>
      <c r="D75" s="108" t="s">
        <v>380</v>
      </c>
      <c r="E75" s="108"/>
      <c r="F75" s="108"/>
      <c r="G75" s="108"/>
      <c r="H75" s="350" t="s">
        <v>236</v>
      </c>
      <c r="I75" s="350"/>
      <c r="J75" s="108"/>
      <c r="K75" s="338" t="s">
        <v>234</v>
      </c>
      <c r="L75" s="338"/>
      <c r="M75" s="338"/>
      <c r="N75"/>
      <c r="O75"/>
      <c r="P75"/>
    </row>
    <row r="76" spans="1:5" ht="19.5" customHeight="1">
      <c r="A76" s="321" t="s">
        <v>379</v>
      </c>
      <c r="B76" s="321"/>
      <c r="C76" s="321"/>
      <c r="D76" s="321"/>
      <c r="E76" s="321"/>
    </row>
    <row r="77" ht="11.25" customHeight="1"/>
    <row r="78" spans="1:13" ht="15.7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</sheetData>
  <sheetProtection/>
  <mergeCells count="266">
    <mergeCell ref="J26:K26"/>
    <mergeCell ref="J28:K28"/>
    <mergeCell ref="J27:K27"/>
    <mergeCell ref="D74:F74"/>
    <mergeCell ref="N66:O66"/>
    <mergeCell ref="N67:O67"/>
    <mergeCell ref="J67:K67"/>
    <mergeCell ref="L67:M67"/>
    <mergeCell ref="K74:M74"/>
    <mergeCell ref="D70:K70"/>
    <mergeCell ref="N61:O61"/>
    <mergeCell ref="N51:O51"/>
    <mergeCell ref="N52:O52"/>
    <mergeCell ref="N53:O53"/>
    <mergeCell ref="N54:O54"/>
    <mergeCell ref="L26:M26"/>
    <mergeCell ref="L28:M28"/>
    <mergeCell ref="L27:M27"/>
    <mergeCell ref="N62:O62"/>
    <mergeCell ref="N65:O65"/>
    <mergeCell ref="N55:O55"/>
    <mergeCell ref="N56:O56"/>
    <mergeCell ref="N58:O58"/>
    <mergeCell ref="N59:O59"/>
    <mergeCell ref="N63:O63"/>
    <mergeCell ref="N64:O64"/>
    <mergeCell ref="N57:O57"/>
    <mergeCell ref="N60:O60"/>
    <mergeCell ref="N42:O42"/>
    <mergeCell ref="N43:O43"/>
    <mergeCell ref="N40:O40"/>
    <mergeCell ref="N50:O50"/>
    <mergeCell ref="N44:O44"/>
    <mergeCell ref="N46:O46"/>
    <mergeCell ref="N47:O47"/>
    <mergeCell ref="N45:O45"/>
    <mergeCell ref="N48:O48"/>
    <mergeCell ref="N49:O49"/>
    <mergeCell ref="N38:O38"/>
    <mergeCell ref="N33:O33"/>
    <mergeCell ref="N34:O34"/>
    <mergeCell ref="N35:O35"/>
    <mergeCell ref="N39:O39"/>
    <mergeCell ref="N41:O41"/>
    <mergeCell ref="N26:O26"/>
    <mergeCell ref="N27:O27"/>
    <mergeCell ref="G45:H45"/>
    <mergeCell ref="N28:O28"/>
    <mergeCell ref="N29:O29"/>
    <mergeCell ref="N30:O30"/>
    <mergeCell ref="N31:O31"/>
    <mergeCell ref="N32:O32"/>
    <mergeCell ref="N36:O36"/>
    <mergeCell ref="N37:O37"/>
    <mergeCell ref="A1:F1"/>
    <mergeCell ref="J1:N1"/>
    <mergeCell ref="A2:G2"/>
    <mergeCell ref="J2:N2"/>
    <mergeCell ref="K75:M75"/>
    <mergeCell ref="H75:I75"/>
    <mergeCell ref="N21:O21"/>
    <mergeCell ref="N22:O23"/>
    <mergeCell ref="N24:O24"/>
    <mergeCell ref="N25:O25"/>
    <mergeCell ref="A6:G6"/>
    <mergeCell ref="J6:N6"/>
    <mergeCell ref="A7:F7"/>
    <mergeCell ref="A8:G8"/>
    <mergeCell ref="A3:G3"/>
    <mergeCell ref="J3:N3"/>
    <mergeCell ref="J4:N4"/>
    <mergeCell ref="A5:G5"/>
    <mergeCell ref="J5:N5"/>
    <mergeCell ref="L24:M24"/>
    <mergeCell ref="G25:H25"/>
    <mergeCell ref="J25:K25"/>
    <mergeCell ref="L17:M17"/>
    <mergeCell ref="C18:H18"/>
    <mergeCell ref="E21:K21"/>
    <mergeCell ref="L21:M21"/>
    <mergeCell ref="J24:K24"/>
    <mergeCell ref="L25:M25"/>
    <mergeCell ref="L11:M11"/>
    <mergeCell ref="A12:I12"/>
    <mergeCell ref="D21:D23"/>
    <mergeCell ref="A11:K11"/>
    <mergeCell ref="L16:M16"/>
    <mergeCell ref="L18:M18"/>
    <mergeCell ref="L12:M12"/>
    <mergeCell ref="J22:K23"/>
    <mergeCell ref="L22:M23"/>
    <mergeCell ref="L13:M13"/>
    <mergeCell ref="L14:M14"/>
    <mergeCell ref="L15:M15"/>
    <mergeCell ref="L52:M52"/>
    <mergeCell ref="L30:M30"/>
    <mergeCell ref="L47:M47"/>
    <mergeCell ref="L46:M46"/>
    <mergeCell ref="L50:M50"/>
    <mergeCell ref="L39:M39"/>
    <mergeCell ref="L41:M41"/>
    <mergeCell ref="L31:M31"/>
    <mergeCell ref="J58:K58"/>
    <mergeCell ref="J46:K46"/>
    <mergeCell ref="J33:K33"/>
    <mergeCell ref="L45:M45"/>
    <mergeCell ref="J35:K35"/>
    <mergeCell ref="J44:K44"/>
    <mergeCell ref="L35:M35"/>
    <mergeCell ref="J62:K62"/>
    <mergeCell ref="J65:K65"/>
    <mergeCell ref="J63:K63"/>
    <mergeCell ref="J64:K64"/>
    <mergeCell ref="L42:M42"/>
    <mergeCell ref="L34:M34"/>
    <mergeCell ref="L63:M63"/>
    <mergeCell ref="L59:M59"/>
    <mergeCell ref="L62:M62"/>
    <mergeCell ref="L65:M65"/>
    <mergeCell ref="L61:M61"/>
    <mergeCell ref="L64:M64"/>
    <mergeCell ref="H71:J71"/>
    <mergeCell ref="H72:J72"/>
    <mergeCell ref="D72:F72"/>
    <mergeCell ref="A69:C69"/>
    <mergeCell ref="D69:E69"/>
    <mergeCell ref="A33:C33"/>
    <mergeCell ref="A35:C35"/>
    <mergeCell ref="A34:C34"/>
    <mergeCell ref="A48:C48"/>
    <mergeCell ref="A52:C52"/>
    <mergeCell ref="G22:H23"/>
    <mergeCell ref="A21:C23"/>
    <mergeCell ref="A26:C26"/>
    <mergeCell ref="A25:C25"/>
    <mergeCell ref="A28:C28"/>
    <mergeCell ref="A29:C29"/>
    <mergeCell ref="A24:C24"/>
    <mergeCell ref="G24:H24"/>
    <mergeCell ref="A27:C27"/>
    <mergeCell ref="A37:C37"/>
    <mergeCell ref="A38:C38"/>
    <mergeCell ref="A39:C39"/>
    <mergeCell ref="A74:C74"/>
    <mergeCell ref="A76:E76"/>
    <mergeCell ref="E22:E23"/>
    <mergeCell ref="A45:C45"/>
    <mergeCell ref="A71:C71"/>
    <mergeCell ref="A72:C72"/>
    <mergeCell ref="A41:C41"/>
    <mergeCell ref="G33:H33"/>
    <mergeCell ref="G36:H36"/>
    <mergeCell ref="G37:H37"/>
    <mergeCell ref="G34:H34"/>
    <mergeCell ref="G35:H35"/>
    <mergeCell ref="A51:C51"/>
    <mergeCell ref="A49:C49"/>
    <mergeCell ref="A46:C46"/>
    <mergeCell ref="A50:C50"/>
    <mergeCell ref="A36:C36"/>
    <mergeCell ref="G26:H26"/>
    <mergeCell ref="G28:H28"/>
    <mergeCell ref="G29:H29"/>
    <mergeCell ref="G30:H30"/>
    <mergeCell ref="G27:H27"/>
    <mergeCell ref="G31:H31"/>
    <mergeCell ref="A40:C40"/>
    <mergeCell ref="A43:C43"/>
    <mergeCell ref="G44:H44"/>
    <mergeCell ref="G41:H41"/>
    <mergeCell ref="G40:H40"/>
    <mergeCell ref="A47:C47"/>
    <mergeCell ref="A42:C42"/>
    <mergeCell ref="A44:C44"/>
    <mergeCell ref="L33:M33"/>
    <mergeCell ref="G38:H38"/>
    <mergeCell ref="G49:H49"/>
    <mergeCell ref="J36:K36"/>
    <mergeCell ref="J37:K37"/>
    <mergeCell ref="J38:K38"/>
    <mergeCell ref="J39:K39"/>
    <mergeCell ref="G42:H42"/>
    <mergeCell ref="G43:H43"/>
    <mergeCell ref="G48:H48"/>
    <mergeCell ref="G47:H47"/>
    <mergeCell ref="G46:H46"/>
    <mergeCell ref="L44:M44"/>
    <mergeCell ref="J42:K42"/>
    <mergeCell ref="J43:K43"/>
    <mergeCell ref="L36:M36"/>
    <mergeCell ref="L37:M37"/>
    <mergeCell ref="J45:K45"/>
    <mergeCell ref="J40:K40"/>
    <mergeCell ref="L53:M53"/>
    <mergeCell ref="L54:M54"/>
    <mergeCell ref="L55:M55"/>
    <mergeCell ref="L57:M57"/>
    <mergeCell ref="L56:M56"/>
    <mergeCell ref="G39:H39"/>
    <mergeCell ref="L49:M49"/>
    <mergeCell ref="J49:K49"/>
    <mergeCell ref="J48:K48"/>
    <mergeCell ref="J47:K47"/>
    <mergeCell ref="A62:C62"/>
    <mergeCell ref="A54:C54"/>
    <mergeCell ref="G60:H60"/>
    <mergeCell ref="A56:C56"/>
    <mergeCell ref="A58:C58"/>
    <mergeCell ref="A64:C64"/>
    <mergeCell ref="G64:H64"/>
    <mergeCell ref="A63:C63"/>
    <mergeCell ref="G63:H63"/>
    <mergeCell ref="L32:M32"/>
    <mergeCell ref="J34:K34"/>
    <mergeCell ref="A66:C66"/>
    <mergeCell ref="G66:H66"/>
    <mergeCell ref="J66:K66"/>
    <mergeCell ref="L66:M66"/>
    <mergeCell ref="A65:C65"/>
    <mergeCell ref="G61:H61"/>
    <mergeCell ref="J61:K61"/>
    <mergeCell ref="G65:H65"/>
    <mergeCell ref="J60:K60"/>
    <mergeCell ref="G55:H55"/>
    <mergeCell ref="J55:K55"/>
    <mergeCell ref="J56:K56"/>
    <mergeCell ref="L60:M60"/>
    <mergeCell ref="A61:C61"/>
    <mergeCell ref="L58:M58"/>
    <mergeCell ref="J59:K59"/>
    <mergeCell ref="L29:M29"/>
    <mergeCell ref="G32:H32"/>
    <mergeCell ref="J32:K32"/>
    <mergeCell ref="J29:K29"/>
    <mergeCell ref="J31:K31"/>
    <mergeCell ref="G62:H62"/>
    <mergeCell ref="L48:M48"/>
    <mergeCell ref="L38:M38"/>
    <mergeCell ref="L40:M40"/>
    <mergeCell ref="L43:M43"/>
    <mergeCell ref="A60:C60"/>
    <mergeCell ref="G59:H59"/>
    <mergeCell ref="A59:C59"/>
    <mergeCell ref="A55:C55"/>
    <mergeCell ref="G58:H58"/>
    <mergeCell ref="G56:H56"/>
    <mergeCell ref="G50:H50"/>
    <mergeCell ref="J50:K50"/>
    <mergeCell ref="G54:H54"/>
    <mergeCell ref="J54:K54"/>
    <mergeCell ref="G51:H51"/>
    <mergeCell ref="J51:K51"/>
    <mergeCell ref="G53:H53"/>
    <mergeCell ref="J52:K52"/>
    <mergeCell ref="J53:K53"/>
    <mergeCell ref="G52:H52"/>
    <mergeCell ref="L51:M51"/>
    <mergeCell ref="J30:K30"/>
    <mergeCell ref="A57:C57"/>
    <mergeCell ref="G57:H57"/>
    <mergeCell ref="J57:K57"/>
    <mergeCell ref="A30:C30"/>
    <mergeCell ref="A31:C31"/>
    <mergeCell ref="A32:C32"/>
    <mergeCell ref="J41:K41"/>
    <mergeCell ref="A53:C53"/>
  </mergeCells>
  <printOptions/>
  <pageMargins left="0.68" right="0.2" top="0.2" bottom="0.26" header="0.19" footer="0.22"/>
  <pageSetup fitToHeight="2" fitToWidth="1" horizontalDpi="600" verticalDpi="600" orientation="landscape" paperSize="9" scale="98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view="pageBreakPreview" zoomScale="75" zoomScaleSheetLayoutView="75" zoomScalePageLayoutView="0" workbookViewId="0" topLeftCell="A4">
      <selection activeCell="E13" sqref="E13"/>
    </sheetView>
  </sheetViews>
  <sheetFormatPr defaultColWidth="9.00390625" defaultRowHeight="12.75"/>
  <cols>
    <col min="1" max="1" width="35.25390625" style="0" customWidth="1"/>
    <col min="2" max="2" width="22.25390625" style="0" customWidth="1"/>
    <col min="3" max="3" width="13.375" style="0" customWidth="1"/>
    <col min="4" max="4" width="12.75390625" style="0" customWidth="1"/>
  </cols>
  <sheetData>
    <row r="2" spans="1:4" ht="15" customHeight="1">
      <c r="A2" s="538" t="s">
        <v>68</v>
      </c>
      <c r="B2" s="598"/>
      <c r="C2" s="598"/>
      <c r="D2" s="598"/>
    </row>
    <row r="4" spans="1:4" ht="24" customHeight="1">
      <c r="A4" s="463" t="s">
        <v>58</v>
      </c>
      <c r="B4" s="463" t="s">
        <v>59</v>
      </c>
      <c r="C4" s="382" t="s">
        <v>3</v>
      </c>
      <c r="D4" s="383"/>
    </row>
    <row r="5" spans="1:4" ht="30.75" customHeight="1">
      <c r="A5" s="701"/>
      <c r="B5" s="701"/>
      <c r="C5" s="170" t="s">
        <v>168</v>
      </c>
      <c r="D5" s="81" t="s">
        <v>169</v>
      </c>
    </row>
    <row r="6" spans="1:5" ht="30" customHeight="1">
      <c r="A6" s="221" t="s">
        <v>63</v>
      </c>
      <c r="B6" s="149" t="s">
        <v>64</v>
      </c>
      <c r="C6" s="171"/>
      <c r="D6" s="88">
        <f>3000+18000</f>
        <v>21000</v>
      </c>
      <c r="E6">
        <v>242</v>
      </c>
    </row>
    <row r="7" spans="1:4" ht="24.75" customHeight="1">
      <c r="A7" s="243" t="s">
        <v>65</v>
      </c>
      <c r="B7" s="149" t="s">
        <v>64</v>
      </c>
      <c r="C7" s="171"/>
      <c r="D7" s="88"/>
    </row>
    <row r="8" spans="1:5" ht="24.75" customHeight="1">
      <c r="A8" s="243" t="s">
        <v>66</v>
      </c>
      <c r="B8" s="149" t="s">
        <v>64</v>
      </c>
      <c r="C8" s="171"/>
      <c r="D8" s="88">
        <v>1500</v>
      </c>
      <c r="E8">
        <v>244</v>
      </c>
    </row>
    <row r="9" spans="1:4" ht="24.75" customHeight="1">
      <c r="A9" s="243" t="s">
        <v>67</v>
      </c>
      <c r="B9" s="149" t="s">
        <v>64</v>
      </c>
      <c r="C9" s="171">
        <v>8675</v>
      </c>
      <c r="D9" s="88"/>
    </row>
    <row r="10" spans="1:5" ht="24.75" customHeight="1">
      <c r="A10" s="243" t="s">
        <v>292</v>
      </c>
      <c r="B10" s="153"/>
      <c r="C10" s="171"/>
      <c r="D10" s="88">
        <v>2000</v>
      </c>
      <c r="E10">
        <v>244</v>
      </c>
    </row>
    <row r="11" spans="1:4" ht="24.75" customHeight="1">
      <c r="A11" s="243" t="s">
        <v>69</v>
      </c>
      <c r="B11" s="149" t="s">
        <v>64</v>
      </c>
      <c r="C11" s="171">
        <v>3600</v>
      </c>
      <c r="D11" s="88"/>
    </row>
    <row r="12" spans="1:5" ht="24.75" customHeight="1">
      <c r="A12" s="243" t="s">
        <v>70</v>
      </c>
      <c r="B12" s="149" t="s">
        <v>64</v>
      </c>
      <c r="C12" s="171"/>
      <c r="D12" s="88">
        <v>6800</v>
      </c>
      <c r="E12">
        <v>244</v>
      </c>
    </row>
    <row r="13" spans="1:4" ht="24.75" customHeight="1">
      <c r="A13" s="243" t="s">
        <v>71</v>
      </c>
      <c r="B13" s="149" t="s">
        <v>64</v>
      </c>
      <c r="C13" s="171"/>
      <c r="D13" s="88"/>
    </row>
    <row r="14" spans="1:4" ht="24.75" customHeight="1">
      <c r="A14" s="243" t="s">
        <v>72</v>
      </c>
      <c r="B14" s="149" t="s">
        <v>320</v>
      </c>
      <c r="C14" s="186">
        <v>150000</v>
      </c>
      <c r="D14" s="88"/>
    </row>
    <row r="15" spans="1:4" ht="24.75" customHeight="1">
      <c r="A15" s="243" t="s">
        <v>73</v>
      </c>
      <c r="B15" s="149" t="s">
        <v>64</v>
      </c>
      <c r="C15" s="171"/>
      <c r="D15" s="88"/>
    </row>
    <row r="16" spans="1:4" ht="24.75" customHeight="1">
      <c r="A16" s="242" t="s">
        <v>308</v>
      </c>
      <c r="B16" s="192" t="s">
        <v>289</v>
      </c>
      <c r="C16" s="193"/>
      <c r="D16" s="193"/>
    </row>
    <row r="17" spans="1:4" ht="24.75" customHeight="1">
      <c r="A17" s="233"/>
      <c r="B17" s="199"/>
      <c r="C17" s="171"/>
      <c r="D17" s="88"/>
    </row>
    <row r="18" spans="1:4" ht="24.75" customHeight="1">
      <c r="A18" s="233"/>
      <c r="B18" s="153"/>
      <c r="C18" s="171"/>
      <c r="D18" s="88"/>
    </row>
    <row r="19" spans="1:4" ht="24.75" customHeight="1">
      <c r="A19" s="241"/>
      <c r="B19" s="153"/>
      <c r="C19" s="171"/>
      <c r="D19" s="88"/>
    </row>
    <row r="20" spans="1:4" ht="13.5" thickBot="1">
      <c r="A20" s="240"/>
      <c r="B20" s="152"/>
      <c r="C20" s="172"/>
      <c r="D20" s="89"/>
    </row>
    <row r="21" spans="1:4" ht="28.5" customHeight="1" thickBot="1" thickTop="1">
      <c r="A21" s="239" t="s">
        <v>18</v>
      </c>
      <c r="B21" s="155"/>
      <c r="C21" s="173">
        <f>SUM(C6:C20)</f>
        <v>162275</v>
      </c>
      <c r="D21" s="98">
        <f>SUM(D6:D20)</f>
        <v>31300</v>
      </c>
    </row>
    <row r="22" spans="1:4" ht="28.5" customHeight="1">
      <c r="A22" s="238" t="s">
        <v>87</v>
      </c>
      <c r="B22" s="154"/>
      <c r="C22" s="174">
        <f>'340'!C21+'310-340'!H49+'310-340'!H26</f>
        <v>164475</v>
      </c>
      <c r="D22" s="99">
        <f>D21+'310-340'!H25</f>
        <v>31800</v>
      </c>
    </row>
    <row r="23" spans="1:4" ht="16.5" customHeight="1">
      <c r="A23" s="25"/>
      <c r="B23" s="18"/>
      <c r="C23" s="28"/>
      <c r="D23" s="28"/>
    </row>
    <row r="24" spans="1:3" ht="12" customHeight="1">
      <c r="A24" t="s">
        <v>173</v>
      </c>
      <c r="C24" t="s">
        <v>249</v>
      </c>
    </row>
    <row r="26" spans="1:3" ht="12.75">
      <c r="A26" t="s">
        <v>91</v>
      </c>
      <c r="C26" t="s">
        <v>179</v>
      </c>
    </row>
  </sheetData>
  <sheetProtection/>
  <mergeCells count="4">
    <mergeCell ref="A2:D2"/>
    <mergeCell ref="C4:D4"/>
    <mergeCell ref="A4:A5"/>
    <mergeCell ref="B4:B5"/>
  </mergeCells>
  <printOptions/>
  <pageMargins left="0.82" right="0.32" top="0.45" bottom="0.54" header="0.3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="75" zoomScaleSheetLayoutView="75" zoomScalePageLayoutView="0" workbookViewId="0" topLeftCell="A16">
      <selection activeCell="G28" sqref="G28"/>
    </sheetView>
  </sheetViews>
  <sheetFormatPr defaultColWidth="9.00390625" defaultRowHeight="12.75"/>
  <cols>
    <col min="1" max="1" width="29.625" style="0" customWidth="1"/>
    <col min="2" max="2" width="9.25390625" style="0" customWidth="1"/>
    <col min="3" max="3" width="9.00390625" style="0" customWidth="1"/>
    <col min="4" max="4" width="9.75390625" style="0" customWidth="1"/>
    <col min="5" max="5" width="9.625" style="0" customWidth="1"/>
    <col min="6" max="6" width="12.00390625" style="0" customWidth="1"/>
    <col min="7" max="7" width="15.00390625" style="0" customWidth="1"/>
  </cols>
  <sheetData>
    <row r="2" spans="1:7" ht="27" customHeight="1">
      <c r="A2" s="377" t="s">
        <v>324</v>
      </c>
      <c r="B2" s="377"/>
      <c r="C2" s="377"/>
      <c r="D2" s="377"/>
      <c r="E2" s="377"/>
      <c r="F2" s="377"/>
      <c r="G2" s="378"/>
    </row>
    <row r="3" spans="1:7" ht="19.5" customHeight="1">
      <c r="A3" s="379"/>
      <c r="B3" s="379"/>
      <c r="C3" s="379"/>
      <c r="D3" s="379"/>
      <c r="E3" s="379"/>
      <c r="F3" s="379"/>
      <c r="G3" s="357"/>
    </row>
    <row r="4" spans="1:7" ht="21.75" customHeight="1">
      <c r="A4" s="380" t="s">
        <v>311</v>
      </c>
      <c r="B4" s="380"/>
      <c r="C4" s="380"/>
      <c r="D4" s="380"/>
      <c r="E4" s="380"/>
      <c r="F4" s="380"/>
      <c r="G4" s="357"/>
    </row>
    <row r="5" spans="1:7" ht="14.25">
      <c r="A5" s="381" t="s">
        <v>312</v>
      </c>
      <c r="B5" s="380"/>
      <c r="C5" s="380"/>
      <c r="D5" s="380"/>
      <c r="E5" s="380"/>
      <c r="F5" s="380"/>
      <c r="G5" s="357"/>
    </row>
    <row r="6" spans="1:7" ht="9.75" customHeight="1">
      <c r="A6" s="387" t="s">
        <v>111</v>
      </c>
      <c r="B6" s="387"/>
      <c r="C6" s="387"/>
      <c r="D6" s="387"/>
      <c r="E6" s="387"/>
      <c r="F6" s="387"/>
      <c r="G6" s="357"/>
    </row>
    <row r="7" ht="9" customHeight="1"/>
    <row r="8" spans="1:7" ht="23.25" customHeight="1">
      <c r="A8" s="388" t="s">
        <v>110</v>
      </c>
      <c r="B8" s="388"/>
      <c r="C8" s="388"/>
      <c r="D8" s="388"/>
      <c r="E8" s="388"/>
      <c r="F8" s="388"/>
      <c r="G8" s="370"/>
    </row>
    <row r="9" spans="1:7" ht="19.5" customHeight="1">
      <c r="A9" s="384"/>
      <c r="B9" s="382" t="s">
        <v>325</v>
      </c>
      <c r="C9" s="390"/>
      <c r="D9" s="382" t="s">
        <v>326</v>
      </c>
      <c r="E9" s="390"/>
      <c r="F9" s="382" t="s">
        <v>112</v>
      </c>
      <c r="G9" s="383"/>
    </row>
    <row r="10" spans="1:7" ht="38.25" customHeight="1">
      <c r="A10" s="385"/>
      <c r="B10" s="32" t="s">
        <v>92</v>
      </c>
      <c r="C10" s="32" t="s">
        <v>93</v>
      </c>
      <c r="D10" s="32" t="s">
        <v>92</v>
      </c>
      <c r="E10" s="32" t="s">
        <v>93</v>
      </c>
      <c r="F10" s="32" t="s">
        <v>92</v>
      </c>
      <c r="G10" s="32" t="s">
        <v>93</v>
      </c>
    </row>
    <row r="11" spans="1:7" ht="18" customHeight="1">
      <c r="A11" s="7" t="s">
        <v>94</v>
      </c>
      <c r="B11" s="37">
        <v>1</v>
      </c>
      <c r="C11" s="37">
        <v>3</v>
      </c>
      <c r="D11" s="37">
        <v>0</v>
      </c>
      <c r="E11" s="37">
        <v>0</v>
      </c>
      <c r="F11" s="29" t="s">
        <v>113</v>
      </c>
      <c r="G11" s="29" t="s">
        <v>113</v>
      </c>
    </row>
    <row r="12" spans="1:7" ht="18" customHeight="1">
      <c r="A12" s="7" t="s">
        <v>95</v>
      </c>
      <c r="B12" s="37">
        <v>0</v>
      </c>
      <c r="C12" s="37">
        <v>0</v>
      </c>
      <c r="D12" s="37">
        <v>0</v>
      </c>
      <c r="E12" s="37">
        <v>0</v>
      </c>
      <c r="F12" s="29" t="s">
        <v>113</v>
      </c>
      <c r="G12" s="29" t="s">
        <v>113</v>
      </c>
    </row>
    <row r="13" spans="1:7" ht="18" customHeight="1">
      <c r="A13" s="7" t="s">
        <v>96</v>
      </c>
      <c r="B13" s="37">
        <v>1</v>
      </c>
      <c r="C13" s="37">
        <v>4</v>
      </c>
      <c r="D13" s="37">
        <v>0</v>
      </c>
      <c r="E13" s="37">
        <v>0</v>
      </c>
      <c r="F13" s="29" t="s">
        <v>113</v>
      </c>
      <c r="G13" s="29" t="s">
        <v>113</v>
      </c>
    </row>
    <row r="14" spans="1:7" ht="18" customHeight="1" thickBot="1">
      <c r="A14" s="33" t="s">
        <v>97</v>
      </c>
      <c r="B14" s="38">
        <v>0</v>
      </c>
      <c r="C14" s="38">
        <v>0</v>
      </c>
      <c r="D14" s="38">
        <v>0</v>
      </c>
      <c r="E14" s="38">
        <v>0</v>
      </c>
      <c r="F14" s="41" t="s">
        <v>113</v>
      </c>
      <c r="G14" s="41" t="s">
        <v>113</v>
      </c>
    </row>
    <row r="15" spans="1:7" ht="25.5" customHeight="1" thickTop="1">
      <c r="A15" s="34" t="s">
        <v>98</v>
      </c>
      <c r="B15" s="36">
        <f>SUM(B11:B14)</f>
        <v>2</v>
      </c>
      <c r="C15" s="36">
        <f>SUM(C11:C14)</f>
        <v>7</v>
      </c>
      <c r="D15" s="36">
        <f>SUM(D11:D14)</f>
        <v>0</v>
      </c>
      <c r="E15" s="36">
        <f>SUM(E11:E14)</f>
        <v>0</v>
      </c>
      <c r="F15" s="55">
        <f>(B15*2+D15)/3</f>
        <v>1.3333333333333333</v>
      </c>
      <c r="G15" s="55">
        <f>(C15*2+E15)/3</f>
        <v>4.666666666666667</v>
      </c>
    </row>
    <row r="16" spans="1:7" ht="18" customHeight="1">
      <c r="A16" s="7" t="s">
        <v>99</v>
      </c>
      <c r="B16" s="37">
        <v>0</v>
      </c>
      <c r="C16" s="37">
        <v>0</v>
      </c>
      <c r="D16" s="37">
        <v>0</v>
      </c>
      <c r="E16" s="37">
        <v>0</v>
      </c>
      <c r="F16" s="29" t="s">
        <v>113</v>
      </c>
      <c r="G16" s="29" t="s">
        <v>113</v>
      </c>
    </row>
    <row r="17" spans="1:7" ht="18" customHeight="1">
      <c r="A17" s="7" t="s">
        <v>100</v>
      </c>
      <c r="B17" s="37">
        <v>1</v>
      </c>
      <c r="C17" s="37">
        <v>1</v>
      </c>
      <c r="D17" s="37">
        <v>0</v>
      </c>
      <c r="E17" s="37">
        <v>0</v>
      </c>
      <c r="F17" s="29" t="s">
        <v>113</v>
      </c>
      <c r="G17" s="29" t="s">
        <v>113</v>
      </c>
    </row>
    <row r="18" spans="1:7" ht="18" customHeight="1">
      <c r="A18" s="7" t="s">
        <v>101</v>
      </c>
      <c r="B18" s="37">
        <v>1</v>
      </c>
      <c r="C18" s="37">
        <v>5</v>
      </c>
      <c r="D18" s="37">
        <v>0</v>
      </c>
      <c r="E18" s="37">
        <v>0</v>
      </c>
      <c r="F18" s="29" t="s">
        <v>113</v>
      </c>
      <c r="G18" s="29" t="s">
        <v>113</v>
      </c>
    </row>
    <row r="19" spans="1:7" ht="18" customHeight="1">
      <c r="A19" s="7" t="s">
        <v>102</v>
      </c>
      <c r="B19" s="37">
        <v>0</v>
      </c>
      <c r="C19" s="37">
        <v>1</v>
      </c>
      <c r="D19" s="37">
        <v>0</v>
      </c>
      <c r="E19" s="37">
        <v>0</v>
      </c>
      <c r="F19" s="29" t="s">
        <v>113</v>
      </c>
      <c r="G19" s="29" t="s">
        <v>113</v>
      </c>
    </row>
    <row r="20" spans="1:7" ht="18" customHeight="1" thickBot="1">
      <c r="A20" s="10" t="s">
        <v>103</v>
      </c>
      <c r="B20" s="38">
        <v>1</v>
      </c>
      <c r="C20" s="38">
        <v>2</v>
      </c>
      <c r="D20" s="38">
        <v>0</v>
      </c>
      <c r="E20" s="38">
        <v>0</v>
      </c>
      <c r="F20" s="41" t="s">
        <v>113</v>
      </c>
      <c r="G20" s="41" t="s">
        <v>113</v>
      </c>
    </row>
    <row r="21" spans="1:7" ht="26.25" customHeight="1" thickTop="1">
      <c r="A21" s="34" t="s">
        <v>104</v>
      </c>
      <c r="B21" s="36">
        <f>SUM(B16:B20)</f>
        <v>3</v>
      </c>
      <c r="C21" s="36">
        <f>SUM(C16:C20)</f>
        <v>9</v>
      </c>
      <c r="D21" s="36">
        <f>SUM(D16:D20)</f>
        <v>0</v>
      </c>
      <c r="E21" s="36">
        <f>SUM(E16:E20)</f>
        <v>0</v>
      </c>
      <c r="F21" s="27">
        <f>(B21*2+D21)/3</f>
        <v>2</v>
      </c>
      <c r="G21" s="55">
        <f>(C21*2+E21)/3</f>
        <v>6</v>
      </c>
    </row>
    <row r="22" spans="1:7" ht="18" customHeight="1">
      <c r="A22" s="7" t="s">
        <v>105</v>
      </c>
      <c r="B22" s="37">
        <v>0</v>
      </c>
      <c r="C22" s="37">
        <v>0</v>
      </c>
      <c r="D22" s="37">
        <v>0</v>
      </c>
      <c r="E22" s="37">
        <v>0</v>
      </c>
      <c r="F22" s="29" t="s">
        <v>113</v>
      </c>
      <c r="G22" s="29" t="s">
        <v>113</v>
      </c>
    </row>
    <row r="23" spans="1:7" ht="18" customHeight="1" thickBot="1">
      <c r="A23" s="10" t="s">
        <v>106</v>
      </c>
      <c r="B23" s="38">
        <v>0</v>
      </c>
      <c r="C23" s="38">
        <v>0</v>
      </c>
      <c r="D23" s="38">
        <v>0</v>
      </c>
      <c r="E23" s="38">
        <v>0</v>
      </c>
      <c r="F23" s="41" t="s">
        <v>113</v>
      </c>
      <c r="G23" s="41" t="s">
        <v>113</v>
      </c>
    </row>
    <row r="24" spans="1:7" ht="27" customHeight="1" thickTop="1">
      <c r="A24" s="34" t="s">
        <v>107</v>
      </c>
      <c r="B24" s="36">
        <f>SUM(B22:B23)</f>
        <v>0</v>
      </c>
      <c r="C24" s="36">
        <f>SUM(C22:C23)</f>
        <v>0</v>
      </c>
      <c r="D24" s="36">
        <f>SUM(D22:D23)</f>
        <v>0</v>
      </c>
      <c r="E24" s="36">
        <f>SUM(E22:E23)</f>
        <v>0</v>
      </c>
      <c r="F24" s="27">
        <f>(B24*2+D24)/3</f>
        <v>0</v>
      </c>
      <c r="G24" s="27">
        <f>(C24*2+E24)/3</f>
        <v>0</v>
      </c>
    </row>
    <row r="25" spans="1:7" ht="26.25" customHeight="1">
      <c r="A25" s="42" t="s">
        <v>108</v>
      </c>
      <c r="B25" s="43">
        <f aca="true" t="shared" si="0" ref="B25:G25">B24+B21+B15</f>
        <v>5</v>
      </c>
      <c r="C25" s="43">
        <f t="shared" si="0"/>
        <v>16</v>
      </c>
      <c r="D25" s="43">
        <f t="shared" si="0"/>
        <v>0</v>
      </c>
      <c r="E25" s="43">
        <f t="shared" si="0"/>
        <v>0</v>
      </c>
      <c r="F25" s="56">
        <f t="shared" si="0"/>
        <v>3.333333333333333</v>
      </c>
      <c r="G25" s="56">
        <f t="shared" si="0"/>
        <v>10.666666666666668</v>
      </c>
    </row>
    <row r="26" spans="1:7" ht="18" customHeight="1">
      <c r="A26" s="35" t="s">
        <v>246</v>
      </c>
      <c r="B26" s="39">
        <v>0</v>
      </c>
      <c r="C26" s="39">
        <v>0</v>
      </c>
      <c r="D26" s="39">
        <v>0</v>
      </c>
      <c r="E26" s="39">
        <v>0</v>
      </c>
      <c r="F26" s="27">
        <f>(B26*2+D26)/3</f>
        <v>0</v>
      </c>
      <c r="G26" s="55">
        <f>(C26*2+E26)/3</f>
        <v>0</v>
      </c>
    </row>
    <row r="27" spans="1:6" ht="12.75">
      <c r="A27" s="389" t="s">
        <v>109</v>
      </c>
      <c r="B27" s="389"/>
      <c r="C27" s="389"/>
      <c r="D27" s="389"/>
      <c r="E27" s="389"/>
      <c r="F27" s="389"/>
    </row>
    <row r="28" spans="1:6" ht="15">
      <c r="A28" s="3"/>
      <c r="B28" s="3"/>
      <c r="C28" s="3"/>
      <c r="D28" s="3"/>
      <c r="E28" s="3"/>
      <c r="F28" s="3"/>
    </row>
    <row r="29" spans="1:6" ht="12.75">
      <c r="A29" t="s">
        <v>114</v>
      </c>
      <c r="E29" s="70" t="s">
        <v>181</v>
      </c>
      <c r="F29" t="s">
        <v>184</v>
      </c>
    </row>
    <row r="30" ht="8.25" customHeight="1"/>
    <row r="31" spans="1:6" ht="12.75">
      <c r="A31" t="s">
        <v>116</v>
      </c>
      <c r="C31" s="70">
        <v>1500</v>
      </c>
      <c r="D31" t="s">
        <v>115</v>
      </c>
      <c r="F31" s="71" t="s">
        <v>183</v>
      </c>
    </row>
    <row r="32" ht="9" customHeight="1"/>
    <row r="33" spans="1:5" ht="12.75">
      <c r="A33" t="s">
        <v>117</v>
      </c>
      <c r="B33" s="69" t="s">
        <v>182</v>
      </c>
      <c r="C33" t="s">
        <v>118</v>
      </c>
      <c r="E33" s="69" t="s">
        <v>182</v>
      </c>
    </row>
    <row r="34" ht="9.75" customHeight="1"/>
    <row r="35" spans="1:6" ht="12.75">
      <c r="A35" t="s">
        <v>119</v>
      </c>
      <c r="C35" s="69" t="s">
        <v>180</v>
      </c>
      <c r="D35" t="s">
        <v>120</v>
      </c>
      <c r="F35" s="69">
        <v>30</v>
      </c>
    </row>
    <row r="36" ht="9.75" customHeight="1"/>
    <row r="37" spans="1:6" ht="12.75">
      <c r="A37" t="s">
        <v>121</v>
      </c>
      <c r="C37" s="4"/>
      <c r="D37" s="386"/>
      <c r="E37" s="386"/>
      <c r="F37" s="4"/>
    </row>
    <row r="38" spans="3:6" ht="12.75">
      <c r="C38" s="4"/>
      <c r="D38" s="4"/>
      <c r="E38" s="4"/>
      <c r="F38" s="4"/>
    </row>
    <row r="39" spans="1:6" ht="19.5" customHeight="1">
      <c r="A39" s="2" t="s">
        <v>0</v>
      </c>
      <c r="B39" s="2"/>
      <c r="C39" s="2"/>
      <c r="D39" s="2"/>
      <c r="E39" s="2"/>
      <c r="F39" s="2"/>
    </row>
    <row r="40" spans="1:6" ht="12.75">
      <c r="A40" s="2" t="s">
        <v>1</v>
      </c>
      <c r="B40" s="2"/>
      <c r="C40" s="2"/>
      <c r="D40" s="2"/>
      <c r="E40" s="2"/>
      <c r="F40" s="2"/>
    </row>
    <row r="43" ht="12.75">
      <c r="F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</sheetData>
  <sheetProtection/>
  <mergeCells count="12">
    <mergeCell ref="D37:E37"/>
    <mergeCell ref="A6:G6"/>
    <mergeCell ref="A8:G8"/>
    <mergeCell ref="A27:F27"/>
    <mergeCell ref="B9:C9"/>
    <mergeCell ref="D9:E9"/>
    <mergeCell ref="A2:G2"/>
    <mergeCell ref="A3:G3"/>
    <mergeCell ref="A4:G4"/>
    <mergeCell ref="A5:G5"/>
    <mergeCell ref="F9:G9"/>
    <mergeCell ref="A9:A10"/>
  </mergeCells>
  <printOptions/>
  <pageMargins left="0.75" right="0.3" top="1" bottom="0.67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75" zoomScaleSheetLayoutView="75" zoomScalePageLayoutView="0" workbookViewId="0" topLeftCell="A1">
      <selection activeCell="E32" sqref="E32"/>
    </sheetView>
  </sheetViews>
  <sheetFormatPr defaultColWidth="9.00390625" defaultRowHeight="12.75"/>
  <cols>
    <col min="1" max="1" width="34.25390625" style="0" customWidth="1"/>
    <col min="2" max="2" width="8.625" style="0" customWidth="1"/>
    <col min="3" max="3" width="7.75390625" style="0" customWidth="1"/>
    <col min="4" max="4" width="9.25390625" style="0" customWidth="1"/>
    <col min="5" max="5" width="11.25390625" style="0" customWidth="1"/>
    <col min="6" max="6" width="14.25390625" style="0" customWidth="1"/>
    <col min="7" max="7" width="14.00390625" style="0" customWidth="1"/>
    <col min="8" max="8" width="12.125" style="0" customWidth="1"/>
    <col min="9" max="9" width="10.375" style="0" bestFit="1" customWidth="1"/>
  </cols>
  <sheetData>
    <row r="1" spans="1:6" ht="15" customHeight="1">
      <c r="A1" s="398" t="s">
        <v>327</v>
      </c>
      <c r="B1" s="399"/>
      <c r="C1" s="399"/>
      <c r="D1" s="399"/>
      <c r="E1" s="399"/>
      <c r="F1" s="399"/>
    </row>
    <row r="2" spans="1:5" ht="12.75">
      <c r="A2" s="12"/>
      <c r="B2" s="12"/>
      <c r="C2" s="12"/>
      <c r="D2" s="12"/>
      <c r="E2" s="12"/>
    </row>
    <row r="3" spans="1:5" ht="12.75">
      <c r="A3" s="12" t="s">
        <v>157</v>
      </c>
      <c r="B3" s="12"/>
      <c r="C3" s="12"/>
      <c r="D3" s="12"/>
      <c r="E3" s="12"/>
    </row>
    <row r="4" ht="12.75">
      <c r="F4" s="163" t="s">
        <v>2</v>
      </c>
    </row>
    <row r="5" spans="1:6" ht="18" customHeight="1">
      <c r="A5" s="400" t="s">
        <v>126</v>
      </c>
      <c r="B5" s="395" t="s">
        <v>122</v>
      </c>
      <c r="C5" s="396"/>
      <c r="D5" s="396"/>
      <c r="E5" s="396"/>
      <c r="F5" s="397"/>
    </row>
    <row r="6" spans="1:6" ht="15" customHeight="1">
      <c r="A6" s="401"/>
      <c r="B6" s="403" t="s">
        <v>123</v>
      </c>
      <c r="C6" s="404"/>
      <c r="D6" s="405"/>
      <c r="E6" s="403" t="s">
        <v>125</v>
      </c>
      <c r="F6" s="406"/>
    </row>
    <row r="7" spans="1:6" ht="69.75" customHeight="1">
      <c r="A7" s="402"/>
      <c r="B7" s="156" t="s">
        <v>124</v>
      </c>
      <c r="C7" s="156" t="s">
        <v>6</v>
      </c>
      <c r="D7" s="156" t="s">
        <v>112</v>
      </c>
      <c r="E7" s="40" t="s">
        <v>4</v>
      </c>
      <c r="F7" s="40" t="s">
        <v>5</v>
      </c>
    </row>
    <row r="8" spans="1:6" ht="28.5" customHeight="1">
      <c r="A8" s="74" t="s">
        <v>140</v>
      </c>
      <c r="B8" s="9"/>
      <c r="C8" s="9"/>
      <c r="D8" s="9"/>
      <c r="E8" s="8"/>
      <c r="F8" s="8"/>
    </row>
    <row r="9" spans="1:6" ht="17.25" customHeight="1">
      <c r="A9" s="75" t="s">
        <v>127</v>
      </c>
      <c r="B9" s="9">
        <v>1</v>
      </c>
      <c r="C9" s="9">
        <v>1</v>
      </c>
      <c r="D9" s="9">
        <f>(B9*2+C9)/3</f>
        <v>1</v>
      </c>
      <c r="E9" s="201">
        <v>12402</v>
      </c>
      <c r="F9" s="157">
        <f>E9*D9*1.65</f>
        <v>20463.3</v>
      </c>
    </row>
    <row r="10" spans="1:6" ht="16.5" customHeight="1">
      <c r="A10" s="75" t="s">
        <v>128</v>
      </c>
      <c r="B10" s="9">
        <v>1</v>
      </c>
      <c r="C10" s="9">
        <v>0</v>
      </c>
      <c r="D10" s="79">
        <f aca="true" t="shared" si="0" ref="D10:D19">(B10*2+C10)/3</f>
        <v>0.6666666666666666</v>
      </c>
      <c r="E10" s="201">
        <v>8610</v>
      </c>
      <c r="F10" s="157">
        <f aca="true" t="shared" si="1" ref="F10:F19">E10*D10*1.65</f>
        <v>9471</v>
      </c>
    </row>
    <row r="11" spans="1:6" ht="16.5" customHeight="1">
      <c r="A11" s="75" t="s">
        <v>129</v>
      </c>
      <c r="B11" s="9"/>
      <c r="C11" s="9"/>
      <c r="D11" s="9">
        <f t="shared" si="0"/>
        <v>0</v>
      </c>
      <c r="E11" s="201"/>
      <c r="F11" s="157">
        <f t="shared" si="1"/>
        <v>0</v>
      </c>
    </row>
    <row r="12" spans="1:6" ht="16.5" customHeight="1">
      <c r="A12" s="75" t="s">
        <v>130</v>
      </c>
      <c r="B12" s="72"/>
      <c r="C12" s="72"/>
      <c r="D12" s="9">
        <f t="shared" si="0"/>
        <v>0</v>
      </c>
      <c r="E12" s="201"/>
      <c r="F12" s="157">
        <f t="shared" si="1"/>
        <v>0</v>
      </c>
    </row>
    <row r="13" spans="1:6" ht="16.5" customHeight="1">
      <c r="A13" s="75" t="s">
        <v>131</v>
      </c>
      <c r="B13" s="72">
        <v>8.39</v>
      </c>
      <c r="C13" s="203">
        <f>B13/титул!B25*титул!D25</f>
        <v>0</v>
      </c>
      <c r="D13" s="79">
        <f>(B13*2+C13)/3</f>
        <v>5.593333333333334</v>
      </c>
      <c r="E13" s="201">
        <v>8200</v>
      </c>
      <c r="F13" s="157">
        <f t="shared" si="1"/>
        <v>75677.8</v>
      </c>
    </row>
    <row r="14" spans="1:6" ht="16.5" customHeight="1">
      <c r="A14" s="75" t="s">
        <v>132</v>
      </c>
      <c r="B14" s="72"/>
      <c r="C14" s="72"/>
      <c r="D14" s="9">
        <f t="shared" si="0"/>
        <v>0</v>
      </c>
      <c r="E14" s="201"/>
      <c r="F14" s="157">
        <f t="shared" si="1"/>
        <v>0</v>
      </c>
    </row>
    <row r="15" spans="1:6" ht="16.5" customHeight="1">
      <c r="A15" s="75" t="s">
        <v>133</v>
      </c>
      <c r="B15" s="72"/>
      <c r="C15" s="72"/>
      <c r="D15" s="9">
        <f t="shared" si="0"/>
        <v>0</v>
      </c>
      <c r="E15" s="201"/>
      <c r="F15" s="157">
        <f t="shared" si="1"/>
        <v>0</v>
      </c>
    </row>
    <row r="16" spans="1:6" ht="16.5" customHeight="1">
      <c r="A16" s="75" t="s">
        <v>134</v>
      </c>
      <c r="B16" s="72"/>
      <c r="C16" s="72"/>
      <c r="D16" s="219">
        <f t="shared" si="0"/>
        <v>0</v>
      </c>
      <c r="E16" s="201"/>
      <c r="F16" s="157">
        <f t="shared" si="1"/>
        <v>0</v>
      </c>
    </row>
    <row r="17" spans="1:6" ht="16.5" customHeight="1">
      <c r="A17" s="75" t="s">
        <v>135</v>
      </c>
      <c r="B17" s="72"/>
      <c r="C17" s="72"/>
      <c r="D17" s="219">
        <f t="shared" si="0"/>
        <v>0</v>
      </c>
      <c r="E17" s="201"/>
      <c r="F17" s="157">
        <f t="shared" si="1"/>
        <v>0</v>
      </c>
    </row>
    <row r="18" spans="1:6" ht="16.5" customHeight="1">
      <c r="A18" s="75" t="s">
        <v>316</v>
      </c>
      <c r="B18" s="72">
        <v>0.25</v>
      </c>
      <c r="C18" s="72">
        <v>0</v>
      </c>
      <c r="D18" s="219">
        <f t="shared" si="0"/>
        <v>0.16666666666666666</v>
      </c>
      <c r="E18" s="201">
        <v>8200</v>
      </c>
      <c r="F18" s="157">
        <f t="shared" si="1"/>
        <v>2254.9999999999995</v>
      </c>
    </row>
    <row r="19" spans="1:6" ht="14.25" customHeight="1" thickBot="1">
      <c r="A19" s="78" t="s">
        <v>186</v>
      </c>
      <c r="B19" s="73">
        <v>0</v>
      </c>
      <c r="C19" s="73">
        <v>0</v>
      </c>
      <c r="D19" s="45">
        <f t="shared" si="0"/>
        <v>0</v>
      </c>
      <c r="E19" s="202">
        <v>0</v>
      </c>
      <c r="F19" s="159">
        <f t="shared" si="1"/>
        <v>0</v>
      </c>
    </row>
    <row r="20" spans="1:6" ht="22.5" customHeight="1" thickTop="1">
      <c r="A20" s="76" t="s">
        <v>145</v>
      </c>
      <c r="B20" s="46">
        <f>SUM(B9:B19)</f>
        <v>10.64</v>
      </c>
      <c r="C20" s="46">
        <f>SUM(C9:C19)</f>
        <v>1</v>
      </c>
      <c r="D20" s="196">
        <f>SUM(D9:D19)</f>
        <v>7.426666666666667</v>
      </c>
      <c r="E20" s="6" t="s">
        <v>113</v>
      </c>
      <c r="F20" s="160">
        <f>SUM(F9:F19)</f>
        <v>107867.1</v>
      </c>
    </row>
    <row r="21" spans="1:9" ht="22.5" customHeight="1">
      <c r="A21" s="77" t="s">
        <v>146</v>
      </c>
      <c r="B21" s="6" t="s">
        <v>113</v>
      </c>
      <c r="C21" s="6" t="s">
        <v>113</v>
      </c>
      <c r="D21" s="6" t="s">
        <v>113</v>
      </c>
      <c r="E21" s="6" t="s">
        <v>113</v>
      </c>
      <c r="F21" s="161">
        <f>F20*12</f>
        <v>1294405.2000000002</v>
      </c>
      <c r="I21" t="s">
        <v>361</v>
      </c>
    </row>
    <row r="22" spans="1:9" ht="27" customHeight="1">
      <c r="A22" s="74" t="s">
        <v>141</v>
      </c>
      <c r="B22" s="1"/>
      <c r="C22" s="1"/>
      <c r="D22" s="1"/>
      <c r="E22" s="1"/>
      <c r="F22" s="157"/>
      <c r="H22" t="s">
        <v>360</v>
      </c>
      <c r="I22" s="80">
        <f>'[2]01.09.14'!$AD$36</f>
        <v>166924.09799999997</v>
      </c>
    </row>
    <row r="23" spans="1:9" ht="13.5" customHeight="1">
      <c r="A23" s="75" t="s">
        <v>137</v>
      </c>
      <c r="B23" s="72">
        <v>0.3</v>
      </c>
      <c r="C23" s="72">
        <v>0</v>
      </c>
      <c r="D23" s="9">
        <f aca="true" t="shared" si="2" ref="D23:D35">(B23*2+C23)/3</f>
        <v>0.19999999999999998</v>
      </c>
      <c r="E23" s="37">
        <v>6180</v>
      </c>
      <c r="F23" s="157">
        <f aca="true" t="shared" si="3" ref="F23:F35">E23*D23*1.65</f>
        <v>2039.3999999999999</v>
      </c>
      <c r="H23" t="s">
        <v>359</v>
      </c>
      <c r="I23">
        <f>1564.5</f>
        <v>1564.5</v>
      </c>
    </row>
    <row r="24" spans="1:9" ht="13.5" customHeight="1">
      <c r="A24" s="75" t="s">
        <v>138</v>
      </c>
      <c r="B24" s="72">
        <v>0</v>
      </c>
      <c r="C24" s="72">
        <v>0</v>
      </c>
      <c r="D24" s="9">
        <f t="shared" si="2"/>
        <v>0</v>
      </c>
      <c r="E24" s="37">
        <v>0</v>
      </c>
      <c r="F24" s="157">
        <f t="shared" si="3"/>
        <v>0</v>
      </c>
      <c r="H24" t="s">
        <v>362</v>
      </c>
      <c r="I24">
        <v>7524</v>
      </c>
    </row>
    <row r="25" spans="1:9" ht="14.25" customHeight="1">
      <c r="A25" s="145" t="s">
        <v>247</v>
      </c>
      <c r="B25" s="146">
        <v>0</v>
      </c>
      <c r="C25" s="146">
        <v>0</v>
      </c>
      <c r="D25" s="218">
        <f t="shared" si="2"/>
        <v>0</v>
      </c>
      <c r="E25" s="148"/>
      <c r="F25" s="158">
        <f t="shared" si="3"/>
        <v>0</v>
      </c>
      <c r="H25" t="s">
        <v>363</v>
      </c>
      <c r="I25">
        <v>6270</v>
      </c>
    </row>
    <row r="26" spans="1:9" ht="13.5" customHeight="1">
      <c r="A26" s="75" t="s">
        <v>139</v>
      </c>
      <c r="B26" s="72">
        <v>0</v>
      </c>
      <c r="C26" s="72">
        <v>0</v>
      </c>
      <c r="D26" s="9">
        <f t="shared" si="2"/>
        <v>0</v>
      </c>
      <c r="E26" s="37">
        <v>0</v>
      </c>
      <c r="F26" s="157">
        <f t="shared" si="3"/>
        <v>0</v>
      </c>
      <c r="H26" t="s">
        <v>364</v>
      </c>
      <c r="I26">
        <v>4626.6</v>
      </c>
    </row>
    <row r="27" spans="1:9" ht="14.25" customHeight="1">
      <c r="A27" s="75" t="s">
        <v>187</v>
      </c>
      <c r="B27" s="72">
        <v>1</v>
      </c>
      <c r="C27" s="72">
        <v>0</v>
      </c>
      <c r="D27" s="79">
        <f t="shared" si="2"/>
        <v>0.6666666666666666</v>
      </c>
      <c r="E27" s="37">
        <v>5070</v>
      </c>
      <c r="F27" s="157">
        <f t="shared" si="3"/>
        <v>5577</v>
      </c>
      <c r="H27" t="s">
        <v>365</v>
      </c>
      <c r="I27">
        <v>3349.5</v>
      </c>
    </row>
    <row r="28" spans="1:9" ht="14.25" customHeight="1">
      <c r="A28" s="75" t="s">
        <v>189</v>
      </c>
      <c r="B28" s="72">
        <v>1.2</v>
      </c>
      <c r="C28" s="72">
        <v>0</v>
      </c>
      <c r="D28" s="9">
        <f t="shared" si="2"/>
        <v>0.7999999999999999</v>
      </c>
      <c r="E28" s="37">
        <v>4433.33</v>
      </c>
      <c r="F28" s="157">
        <f t="shared" si="3"/>
        <v>5851.995599999999</v>
      </c>
      <c r="H28" t="s">
        <v>366</v>
      </c>
      <c r="I28">
        <v>8860.5</v>
      </c>
    </row>
    <row r="29" spans="1:9" ht="15" customHeight="1">
      <c r="A29" s="145" t="s">
        <v>189</v>
      </c>
      <c r="B29" s="146">
        <v>0</v>
      </c>
      <c r="C29" s="146">
        <v>0</v>
      </c>
      <c r="D29" s="147">
        <f t="shared" si="2"/>
        <v>0</v>
      </c>
      <c r="E29" s="148"/>
      <c r="F29" s="158">
        <f>E29*D29*1.65</f>
        <v>0</v>
      </c>
      <c r="H29" s="391" t="s">
        <v>367</v>
      </c>
      <c r="I29" s="393">
        <f>SUM(I22:I28)</f>
        <v>199119.19799999997</v>
      </c>
    </row>
    <row r="30" spans="1:9" ht="16.5" customHeight="1">
      <c r="A30" s="145" t="s">
        <v>144</v>
      </c>
      <c r="B30" s="146">
        <v>0</v>
      </c>
      <c r="C30" s="146">
        <v>0</v>
      </c>
      <c r="D30" s="218">
        <f t="shared" si="2"/>
        <v>0</v>
      </c>
      <c r="E30" s="148"/>
      <c r="F30" s="158">
        <v>0</v>
      </c>
      <c r="H30" s="392"/>
      <c r="I30" s="394"/>
    </row>
    <row r="31" spans="1:6" ht="16.5" customHeight="1">
      <c r="A31" s="75" t="s">
        <v>143</v>
      </c>
      <c r="B31" s="72">
        <v>1.5</v>
      </c>
      <c r="C31" s="72">
        <v>0</v>
      </c>
      <c r="D31" s="9">
        <f t="shared" si="2"/>
        <v>1</v>
      </c>
      <c r="E31" s="37">
        <v>3800</v>
      </c>
      <c r="F31" s="157">
        <f t="shared" si="3"/>
        <v>6270</v>
      </c>
    </row>
    <row r="32" spans="1:6" ht="13.5" customHeight="1">
      <c r="A32" s="75" t="s">
        <v>144</v>
      </c>
      <c r="B32" s="72">
        <v>2.3</v>
      </c>
      <c r="C32" s="72">
        <v>0</v>
      </c>
      <c r="D32" s="79">
        <f t="shared" si="2"/>
        <v>1.5333333333333332</v>
      </c>
      <c r="E32" s="37">
        <v>3800</v>
      </c>
      <c r="F32" s="157">
        <f>E32*D32*1.65+2143.48</f>
        <v>11757.479999999998</v>
      </c>
    </row>
    <row r="33" spans="1:6" ht="16.5" customHeight="1">
      <c r="A33" s="145" t="s">
        <v>248</v>
      </c>
      <c r="B33" s="146">
        <v>0</v>
      </c>
      <c r="C33" s="146">
        <v>0</v>
      </c>
      <c r="D33" s="217">
        <f t="shared" si="2"/>
        <v>0</v>
      </c>
      <c r="E33" s="148"/>
      <c r="F33" s="158">
        <f t="shared" si="3"/>
        <v>0</v>
      </c>
    </row>
    <row r="34" spans="1:6" ht="16.5" customHeight="1">
      <c r="A34" s="145" t="s">
        <v>142</v>
      </c>
      <c r="B34" s="146">
        <v>0</v>
      </c>
      <c r="C34" s="146">
        <v>0</v>
      </c>
      <c r="D34" s="217">
        <f>(B34*2+C34)/3</f>
        <v>0</v>
      </c>
      <c r="E34" s="148"/>
      <c r="F34" s="158">
        <f>E34*D34*1.65</f>
        <v>0</v>
      </c>
    </row>
    <row r="35" spans="1:6" ht="18.75" customHeight="1" thickBot="1">
      <c r="A35" s="78" t="s">
        <v>188</v>
      </c>
      <c r="B35" s="73">
        <v>0.5</v>
      </c>
      <c r="C35" s="73">
        <v>0</v>
      </c>
      <c r="D35" s="220">
        <f t="shared" si="2"/>
        <v>0.3333333333333333</v>
      </c>
      <c r="E35" s="38">
        <v>4060</v>
      </c>
      <c r="F35" s="159">
        <f t="shared" si="3"/>
        <v>2232.9999999999995</v>
      </c>
    </row>
    <row r="36" spans="1:6" ht="22.5" customHeight="1" thickTop="1">
      <c r="A36" s="76" t="s">
        <v>136</v>
      </c>
      <c r="B36" s="46">
        <f>SUM(B23:B35)</f>
        <v>6.8</v>
      </c>
      <c r="C36" s="46">
        <f>SUM(C23:C35)</f>
        <v>0</v>
      </c>
      <c r="D36" s="196">
        <f>SUM(D23:D35)</f>
        <v>4.533333333333332</v>
      </c>
      <c r="E36" s="6" t="s">
        <v>113</v>
      </c>
      <c r="F36" s="160">
        <f>SUM(F23:F35)</f>
        <v>33728.8756</v>
      </c>
    </row>
    <row r="37" spans="1:6" ht="20.25" customHeight="1">
      <c r="A37" s="44" t="s">
        <v>147</v>
      </c>
      <c r="B37" s="6" t="s">
        <v>113</v>
      </c>
      <c r="C37" s="6" t="s">
        <v>113</v>
      </c>
      <c r="D37" s="6" t="s">
        <v>113</v>
      </c>
      <c r="E37" s="6" t="s">
        <v>113</v>
      </c>
      <c r="F37" s="161">
        <f>F36*12</f>
        <v>404746.5072</v>
      </c>
    </row>
    <row r="38" spans="1:6" ht="21.75" customHeight="1">
      <c r="A38" s="44" t="s">
        <v>148</v>
      </c>
      <c r="B38" s="31">
        <f>B36+B20</f>
        <v>17.44</v>
      </c>
      <c r="C38" s="31">
        <f>C36+C20</f>
        <v>1</v>
      </c>
      <c r="D38" s="195">
        <f>D36+D20</f>
        <v>11.959999999999999</v>
      </c>
      <c r="E38" s="29" t="s">
        <v>113</v>
      </c>
      <c r="F38" s="162">
        <f>F37+F21</f>
        <v>1699151.7072</v>
      </c>
    </row>
    <row r="39" spans="1:6" ht="17.25" customHeight="1">
      <c r="A39" s="13" t="s">
        <v>149</v>
      </c>
      <c r="B39" s="8"/>
      <c r="C39" s="8"/>
      <c r="D39" s="8"/>
      <c r="E39" s="8"/>
      <c r="F39" s="184">
        <f>66205.19*12</f>
        <v>794462.28</v>
      </c>
    </row>
    <row r="40" spans="1:6" ht="18.75" customHeight="1">
      <c r="A40" s="50" t="s">
        <v>163</v>
      </c>
      <c r="B40" s="30"/>
      <c r="C40" s="30"/>
      <c r="D40" s="30"/>
      <c r="E40" s="30"/>
      <c r="F40" s="183">
        <f>F39+F38</f>
        <v>2493613.9872000003</v>
      </c>
    </row>
    <row r="41" ht="12.75">
      <c r="F41" s="200">
        <f>F40/12</f>
        <v>207801.16560000004</v>
      </c>
    </row>
  </sheetData>
  <sheetProtection/>
  <mergeCells count="7">
    <mergeCell ref="H29:H30"/>
    <mergeCell ref="I29:I30"/>
    <mergeCell ref="B5:F5"/>
    <mergeCell ref="A1:F1"/>
    <mergeCell ref="A5:A7"/>
    <mergeCell ref="B6:D6"/>
    <mergeCell ref="E6:F6"/>
  </mergeCells>
  <printOptions/>
  <pageMargins left="0.59" right="0.44" top="0.59" bottom="0.6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75" zoomScaleSheetLayoutView="75" zoomScalePageLayoutView="0" workbookViewId="0" topLeftCell="A1">
      <selection activeCell="F7" sqref="F7:H7"/>
    </sheetView>
  </sheetViews>
  <sheetFormatPr defaultColWidth="9.00390625" defaultRowHeight="12.75"/>
  <cols>
    <col min="1" max="1" width="11.25390625" style="0" customWidth="1"/>
    <col min="2" max="2" width="10.125" style="0" customWidth="1"/>
    <col min="3" max="3" width="10.25390625" style="0" customWidth="1"/>
    <col min="4" max="4" width="10.00390625" style="0" customWidth="1"/>
    <col min="5" max="5" width="14.25390625" style="0" customWidth="1"/>
    <col min="6" max="6" width="6.00390625" style="0" customWidth="1"/>
    <col min="7" max="7" width="10.75390625" style="0" customWidth="1"/>
    <col min="8" max="8" width="11.125" style="0" customWidth="1"/>
  </cols>
  <sheetData>
    <row r="1" ht="12.75">
      <c r="A1" s="12" t="s">
        <v>158</v>
      </c>
    </row>
    <row r="2" ht="10.5" customHeight="1">
      <c r="H2" s="47" t="s">
        <v>2</v>
      </c>
    </row>
    <row r="3" spans="1:8" ht="29.25" customHeight="1">
      <c r="A3" s="382" t="s">
        <v>250</v>
      </c>
      <c r="B3" s="390"/>
      <c r="C3" s="390"/>
      <c r="D3" s="404"/>
      <c r="E3" s="405"/>
      <c r="F3" s="395" t="s">
        <v>159</v>
      </c>
      <c r="G3" s="418"/>
      <c r="H3" s="419"/>
    </row>
    <row r="4" spans="1:8" ht="18" customHeight="1">
      <c r="A4" s="444" t="s">
        <v>160</v>
      </c>
      <c r="B4" s="445"/>
      <c r="C4" s="445"/>
      <c r="D4" s="445"/>
      <c r="E4" s="446"/>
      <c r="F4" s="447">
        <v>0</v>
      </c>
      <c r="G4" s="448"/>
      <c r="H4" s="449"/>
    </row>
    <row r="5" spans="1:8" ht="18" customHeight="1">
      <c r="A5" s="444" t="s">
        <v>161</v>
      </c>
      <c r="B5" s="445"/>
      <c r="C5" s="445"/>
      <c r="D5" s="445"/>
      <c r="E5" s="446"/>
      <c r="F5" s="447">
        <f>(2600/156.8*288*1.65)+(2600/156.8*96*0.35*1.65)</f>
        <v>8798.877551020409</v>
      </c>
      <c r="G5" s="448"/>
      <c r="H5" s="449"/>
    </row>
    <row r="6" spans="1:8" ht="18" customHeight="1">
      <c r="A6" s="444" t="s">
        <v>377</v>
      </c>
      <c r="B6" s="445"/>
      <c r="C6" s="445"/>
      <c r="D6" s="445"/>
      <c r="E6" s="446"/>
      <c r="F6" s="447">
        <v>80000</v>
      </c>
      <c r="G6" s="448"/>
      <c r="H6" s="449"/>
    </row>
    <row r="7" spans="1:8" ht="18" customHeight="1">
      <c r="A7" s="444" t="s">
        <v>257</v>
      </c>
      <c r="B7" s="445"/>
      <c r="C7" s="445"/>
      <c r="D7" s="445"/>
      <c r="E7" s="446"/>
      <c r="F7" s="447">
        <f>('211'!F35+'211'!F31+'211'!F27)/29.4*44</f>
        <v>21072.108843537415</v>
      </c>
      <c r="G7" s="448"/>
      <c r="H7" s="449"/>
    </row>
    <row r="8" spans="1:8" ht="18" customHeight="1">
      <c r="A8" s="444" t="s">
        <v>376</v>
      </c>
      <c r="B8" s="445"/>
      <c r="C8" s="445"/>
      <c r="D8" s="445"/>
      <c r="E8" s="446"/>
      <c r="F8" s="447">
        <v>6000</v>
      </c>
      <c r="G8" s="448"/>
      <c r="H8" s="449"/>
    </row>
    <row r="9" spans="1:8" ht="18" customHeight="1">
      <c r="A9" s="444" t="s">
        <v>162</v>
      </c>
      <c r="B9" s="445"/>
      <c r="C9" s="445"/>
      <c r="D9" s="445"/>
      <c r="E9" s="446"/>
      <c r="F9" s="447">
        <v>16700</v>
      </c>
      <c r="G9" s="448"/>
      <c r="H9" s="449"/>
    </row>
    <row r="10" spans="1:8" ht="18" customHeight="1" thickBot="1">
      <c r="A10" s="444" t="s">
        <v>298</v>
      </c>
      <c r="B10" s="445"/>
      <c r="C10" s="445"/>
      <c r="D10" s="445"/>
      <c r="E10" s="446"/>
      <c r="F10" s="447">
        <f>'211'!E9</f>
        <v>12402</v>
      </c>
      <c r="G10" s="448"/>
      <c r="H10" s="449"/>
    </row>
    <row r="11" spans="1:8" ht="15.75" customHeight="1" thickBot="1" thickTop="1">
      <c r="A11" s="479" t="s">
        <v>164</v>
      </c>
      <c r="B11" s="480"/>
      <c r="C11" s="480"/>
      <c r="D11" s="481"/>
      <c r="E11" s="482"/>
      <c r="F11" s="483">
        <f>SUM(F4:H10)</f>
        <v>144972.9863945578</v>
      </c>
      <c r="G11" s="484"/>
      <c r="H11" s="485"/>
    </row>
    <row r="12" spans="1:8" ht="18.75" customHeight="1" thickBot="1">
      <c r="A12" s="423" t="s">
        <v>251</v>
      </c>
      <c r="B12" s="424"/>
      <c r="C12" s="424"/>
      <c r="D12" s="489"/>
      <c r="E12" s="468"/>
      <c r="F12" s="490">
        <f>F11+'211'!F40</f>
        <v>2638586.973594558</v>
      </c>
      <c r="G12" s="491"/>
      <c r="H12" s="492"/>
    </row>
    <row r="13" spans="1:8" ht="15" customHeight="1" thickBot="1">
      <c r="A13" s="476" t="s">
        <v>315</v>
      </c>
      <c r="B13" s="477"/>
      <c r="C13" s="477"/>
      <c r="D13" s="477"/>
      <c r="E13" s="478"/>
      <c r="F13" s="493">
        <f>F12</f>
        <v>2638586.973594558</v>
      </c>
      <c r="G13" s="494"/>
      <c r="H13" s="495"/>
    </row>
    <row r="15" spans="1:8" ht="24" customHeight="1">
      <c r="A15" s="398" t="s">
        <v>328</v>
      </c>
      <c r="B15" s="399"/>
      <c r="C15" s="399"/>
      <c r="D15" s="399"/>
      <c r="E15" s="399"/>
      <c r="F15" s="399"/>
      <c r="G15" s="399"/>
      <c r="H15" s="399"/>
    </row>
    <row r="16" spans="3:8" ht="15">
      <c r="C16" s="14"/>
      <c r="D16" s="14"/>
      <c r="E16" s="14"/>
      <c r="F16" s="14"/>
      <c r="G16" s="14"/>
      <c r="H16" s="163" t="s">
        <v>2</v>
      </c>
    </row>
    <row r="17" spans="1:8" ht="16.5" customHeight="1">
      <c r="A17" s="395" t="s">
        <v>7</v>
      </c>
      <c r="B17" s="418"/>
      <c r="C17" s="419"/>
      <c r="D17" s="382" t="s">
        <v>3</v>
      </c>
      <c r="E17" s="390"/>
      <c r="F17" s="390"/>
      <c r="G17" s="390"/>
      <c r="H17" s="404"/>
    </row>
    <row r="18" spans="1:8" ht="21" customHeight="1" thickBot="1">
      <c r="A18" s="486"/>
      <c r="B18" s="487"/>
      <c r="C18" s="488"/>
      <c r="D18" s="463" t="s">
        <v>252</v>
      </c>
      <c r="E18" s="464"/>
      <c r="F18" s="460" t="s">
        <v>290</v>
      </c>
      <c r="G18" s="461"/>
      <c r="H18" s="462"/>
    </row>
    <row r="19" spans="1:8" ht="25.5" customHeight="1" thickBot="1">
      <c r="A19" s="423" t="s">
        <v>165</v>
      </c>
      <c r="B19" s="424"/>
      <c r="C19" s="425"/>
      <c r="D19" s="465">
        <f>SUM(D21:E25)</f>
        <v>2638586.973594558</v>
      </c>
      <c r="E19" s="466"/>
      <c r="F19" s="465">
        <f>SUM(F21:G25)</f>
        <v>793833.2660255565</v>
      </c>
      <c r="G19" s="467"/>
      <c r="H19" s="468"/>
    </row>
    <row r="20" spans="1:8" ht="12" customHeight="1">
      <c r="A20" s="438" t="s">
        <v>156</v>
      </c>
      <c r="B20" s="439"/>
      <c r="C20" s="440"/>
      <c r="D20" s="436"/>
      <c r="E20" s="437"/>
      <c r="F20" s="457"/>
      <c r="G20" s="458"/>
      <c r="H20" s="459"/>
    </row>
    <row r="21" spans="1:8" ht="22.5" customHeight="1">
      <c r="A21" s="407" t="s">
        <v>167</v>
      </c>
      <c r="B21" s="408"/>
      <c r="C21" s="409"/>
      <c r="D21" s="410">
        <f>F12-D23-D25-D22-D24</f>
        <v>2620184.973594558</v>
      </c>
      <c r="E21" s="411"/>
      <c r="F21" s="410">
        <f>D21*0.302</f>
        <v>791295.8620255565</v>
      </c>
      <c r="G21" s="412"/>
      <c r="H21" s="409"/>
    </row>
    <row r="22" spans="1:8" ht="22.5" customHeight="1">
      <c r="A22" s="470" t="s">
        <v>166</v>
      </c>
      <c r="B22" s="471"/>
      <c r="C22" s="472"/>
      <c r="D22" s="473">
        <v>0</v>
      </c>
      <c r="E22" s="474"/>
      <c r="F22" s="473">
        <f>D22*0.302</f>
        <v>0</v>
      </c>
      <c r="G22" s="475"/>
      <c r="H22" s="472">
        <v>0</v>
      </c>
    </row>
    <row r="23" spans="1:8" ht="18.75" customHeight="1">
      <c r="A23" s="441" t="s">
        <v>295</v>
      </c>
      <c r="B23" s="442"/>
      <c r="C23" s="443"/>
      <c r="D23" s="434">
        <v>0</v>
      </c>
      <c r="E23" s="435"/>
      <c r="F23" s="434">
        <f>D23*0.302</f>
        <v>0</v>
      </c>
      <c r="G23" s="469"/>
      <c r="H23" s="443"/>
    </row>
    <row r="24" spans="1:8" ht="18" customHeight="1">
      <c r="A24" s="407" t="s">
        <v>298</v>
      </c>
      <c r="B24" s="408"/>
      <c r="C24" s="409"/>
      <c r="D24" s="410">
        <f>F10</f>
        <v>12402</v>
      </c>
      <c r="E24" s="411"/>
      <c r="F24" s="410">
        <f>(D24-4000)*0.302</f>
        <v>2537.404</v>
      </c>
      <c r="G24" s="412"/>
      <c r="H24" s="409" t="e">
        <f>#REF!</f>
        <v>#REF!</v>
      </c>
    </row>
    <row r="25" spans="1:8" ht="18" customHeight="1">
      <c r="A25" s="407" t="s">
        <v>297</v>
      </c>
      <c r="B25" s="408"/>
      <c r="C25" s="409"/>
      <c r="D25" s="410">
        <f>F8</f>
        <v>6000</v>
      </c>
      <c r="E25" s="411"/>
      <c r="F25" s="410">
        <v>0</v>
      </c>
      <c r="G25" s="412"/>
      <c r="H25" s="409" t="e">
        <f>#REF!</f>
        <v>#REF!</v>
      </c>
    </row>
    <row r="26" spans="1:3" ht="12.75">
      <c r="A26" s="15"/>
      <c r="B26" s="15"/>
      <c r="C26" s="15"/>
    </row>
    <row r="27" spans="1:8" ht="25.5" customHeight="1">
      <c r="A27" s="398" t="s">
        <v>329</v>
      </c>
      <c r="B27" s="450"/>
      <c r="C27" s="450"/>
      <c r="D27" s="450"/>
      <c r="E27" s="450"/>
      <c r="F27" s="450"/>
      <c r="G27" s="450"/>
      <c r="H27" s="450"/>
    </row>
    <row r="28" ht="15" customHeight="1">
      <c r="H28" s="163" t="s">
        <v>2</v>
      </c>
    </row>
    <row r="29" spans="1:8" ht="24.75" customHeight="1">
      <c r="A29" s="395" t="s">
        <v>253</v>
      </c>
      <c r="B29" s="418"/>
      <c r="C29" s="419"/>
      <c r="D29" s="395" t="s">
        <v>8</v>
      </c>
      <c r="E29" s="452"/>
      <c r="F29" s="453"/>
      <c r="G29" s="395" t="s">
        <v>9</v>
      </c>
      <c r="H29" s="451"/>
    </row>
    <row r="30" spans="1:8" ht="33" customHeight="1">
      <c r="A30" s="420"/>
      <c r="B30" s="421"/>
      <c r="C30" s="422"/>
      <c r="D30" s="454"/>
      <c r="E30" s="455"/>
      <c r="F30" s="456"/>
      <c r="G30" s="170" t="s">
        <v>254</v>
      </c>
      <c r="H30" s="164" t="s">
        <v>255</v>
      </c>
    </row>
    <row r="31" spans="1:8" ht="24.75" customHeight="1">
      <c r="A31" s="413" t="s">
        <v>154</v>
      </c>
      <c r="B31" s="414"/>
      <c r="C31" s="415"/>
      <c r="D31" s="416" t="s">
        <v>313</v>
      </c>
      <c r="E31" s="417"/>
      <c r="F31" s="417"/>
      <c r="G31" s="182">
        <v>0</v>
      </c>
      <c r="H31" s="82">
        <f>57.5*12</f>
        <v>690</v>
      </c>
    </row>
    <row r="32" spans="1:8" ht="31.5" customHeight="1">
      <c r="A32" s="413" t="s">
        <v>185</v>
      </c>
      <c r="B32" s="414"/>
      <c r="C32" s="415"/>
      <c r="D32" s="416" t="s">
        <v>314</v>
      </c>
      <c r="E32" s="417"/>
      <c r="F32" s="417"/>
      <c r="G32" s="182">
        <v>0</v>
      </c>
      <c r="H32" s="82">
        <f>17/2*3000-G32</f>
        <v>25500</v>
      </c>
    </row>
    <row r="33" spans="1:8" ht="24.75" customHeight="1">
      <c r="A33" s="429" t="s">
        <v>190</v>
      </c>
      <c r="B33" s="430"/>
      <c r="C33" s="431"/>
      <c r="D33" s="432" t="s">
        <v>192</v>
      </c>
      <c r="E33" s="433"/>
      <c r="F33" s="433"/>
      <c r="G33" s="191">
        <v>0</v>
      </c>
      <c r="H33" s="252">
        <v>81705.1</v>
      </c>
    </row>
    <row r="34" spans="1:8" ht="30" customHeight="1" thickBot="1">
      <c r="A34" s="426" t="s">
        <v>155</v>
      </c>
      <c r="B34" s="427"/>
      <c r="C34" s="428"/>
      <c r="D34" s="416" t="s">
        <v>341</v>
      </c>
      <c r="E34" s="417"/>
      <c r="F34" s="417"/>
      <c r="G34" s="182">
        <v>0</v>
      </c>
      <c r="H34" s="82">
        <v>7000</v>
      </c>
    </row>
    <row r="35" spans="1:8" ht="27.75" customHeight="1" thickBot="1">
      <c r="A35" s="423" t="s">
        <v>10</v>
      </c>
      <c r="B35" s="424"/>
      <c r="C35" s="425"/>
      <c r="D35" s="151"/>
      <c r="E35" s="150"/>
      <c r="F35" s="150"/>
      <c r="G35" s="181">
        <f>SUM(G31:G34)</f>
        <v>0</v>
      </c>
      <c r="H35" s="165">
        <f>SUM(H31:H34)</f>
        <v>114895.1</v>
      </c>
    </row>
    <row r="38" ht="12.75">
      <c r="H38" s="100"/>
    </row>
  </sheetData>
  <sheetProtection/>
  <mergeCells count="61">
    <mergeCell ref="F11:H11"/>
    <mergeCell ref="A15:H15"/>
    <mergeCell ref="A17:C18"/>
    <mergeCell ref="A12:E12"/>
    <mergeCell ref="F12:H12"/>
    <mergeCell ref="F13:H13"/>
    <mergeCell ref="D17:H17"/>
    <mergeCell ref="F19:H19"/>
    <mergeCell ref="F23:H23"/>
    <mergeCell ref="A22:C22"/>
    <mergeCell ref="D22:E22"/>
    <mergeCell ref="A7:E7"/>
    <mergeCell ref="F7:H7"/>
    <mergeCell ref="A8:E8"/>
    <mergeCell ref="A19:C19"/>
    <mergeCell ref="F21:H21"/>
    <mergeCell ref="F22:H22"/>
    <mergeCell ref="A6:E6"/>
    <mergeCell ref="F6:H6"/>
    <mergeCell ref="A27:H27"/>
    <mergeCell ref="A25:C25"/>
    <mergeCell ref="G29:H29"/>
    <mergeCell ref="D29:F30"/>
    <mergeCell ref="F20:H20"/>
    <mergeCell ref="F18:H18"/>
    <mergeCell ref="D18:E18"/>
    <mergeCell ref="D19:E19"/>
    <mergeCell ref="F9:H9"/>
    <mergeCell ref="F8:H8"/>
    <mergeCell ref="A10:E10"/>
    <mergeCell ref="F10:H10"/>
    <mergeCell ref="A3:E3"/>
    <mergeCell ref="A4:E4"/>
    <mergeCell ref="F4:H4"/>
    <mergeCell ref="F3:H3"/>
    <mergeCell ref="A5:E5"/>
    <mergeCell ref="F5:H5"/>
    <mergeCell ref="D20:E20"/>
    <mergeCell ref="D21:E21"/>
    <mergeCell ref="A20:C20"/>
    <mergeCell ref="A21:C21"/>
    <mergeCell ref="A23:C23"/>
    <mergeCell ref="A9:E9"/>
    <mergeCell ref="A13:E13"/>
    <mergeCell ref="A11:E11"/>
    <mergeCell ref="A35:C35"/>
    <mergeCell ref="A34:C34"/>
    <mergeCell ref="A33:C33"/>
    <mergeCell ref="D34:F34"/>
    <mergeCell ref="D33:F33"/>
    <mergeCell ref="D23:E23"/>
    <mergeCell ref="A24:C24"/>
    <mergeCell ref="D24:E24"/>
    <mergeCell ref="F24:H24"/>
    <mergeCell ref="A32:C32"/>
    <mergeCell ref="D32:F32"/>
    <mergeCell ref="A29:C30"/>
    <mergeCell ref="D25:E25"/>
    <mergeCell ref="F25:H25"/>
    <mergeCell ref="D31:F31"/>
    <mergeCell ref="A31:C31"/>
  </mergeCells>
  <printOptions/>
  <pageMargins left="0.75" right="0.28" top="0.52" bottom="0.35" header="0.5" footer="0.33"/>
  <pageSetup fitToHeight="1" fitToWidth="1" horizontalDpi="600" verticalDpi="600" orientation="portrait" paperSize="9" r:id="rId1"/>
  <rowBreaks count="1" manualBreakCount="1">
    <brk id="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75" zoomScaleSheetLayoutView="75" zoomScalePageLayoutView="0" workbookViewId="0" topLeftCell="A1">
      <selection activeCell="A13" sqref="A13:C13"/>
    </sheetView>
  </sheetViews>
  <sheetFormatPr defaultColWidth="9.00390625" defaultRowHeight="12.75"/>
  <cols>
    <col min="1" max="1" width="12.875" style="0" customWidth="1"/>
    <col min="2" max="2" width="11.25390625" style="0" customWidth="1"/>
    <col min="3" max="3" width="10.875" style="0" customWidth="1"/>
    <col min="7" max="7" width="11.25390625" style="0" customWidth="1"/>
    <col min="8" max="8" width="12.875" style="0" customWidth="1"/>
  </cols>
  <sheetData>
    <row r="1" spans="1:9" ht="22.5" customHeight="1">
      <c r="A1" s="398" t="s">
        <v>330</v>
      </c>
      <c r="B1" s="496"/>
      <c r="C1" s="496"/>
      <c r="D1" s="496"/>
      <c r="E1" s="496"/>
      <c r="F1" s="496"/>
      <c r="G1" s="496"/>
      <c r="H1" s="496"/>
      <c r="I1" s="496"/>
    </row>
    <row r="2" ht="12" customHeight="1">
      <c r="H2" s="163" t="s">
        <v>2</v>
      </c>
    </row>
    <row r="3" spans="1:8" ht="26.25" customHeight="1">
      <c r="A3" s="395" t="s">
        <v>11</v>
      </c>
      <c r="B3" s="418"/>
      <c r="C3" s="419"/>
      <c r="D3" s="395" t="s">
        <v>12</v>
      </c>
      <c r="E3" s="418"/>
      <c r="F3" s="419"/>
      <c r="G3" s="382" t="s">
        <v>3</v>
      </c>
      <c r="H3" s="383"/>
    </row>
    <row r="4" spans="1:8" ht="26.25" customHeight="1">
      <c r="A4" s="420"/>
      <c r="B4" s="421"/>
      <c r="C4" s="422"/>
      <c r="D4" s="420"/>
      <c r="E4" s="421"/>
      <c r="F4" s="422"/>
      <c r="G4" s="170" t="s">
        <v>254</v>
      </c>
      <c r="H4" s="164" t="s">
        <v>255</v>
      </c>
    </row>
    <row r="5" spans="1:8" ht="24" customHeight="1">
      <c r="A5" s="497" t="s">
        <v>13</v>
      </c>
      <c r="B5" s="498"/>
      <c r="C5" s="499"/>
      <c r="D5" s="512" t="s">
        <v>347</v>
      </c>
      <c r="E5" s="513"/>
      <c r="F5" s="514"/>
      <c r="G5" s="179"/>
      <c r="H5" s="83"/>
    </row>
    <row r="6" spans="1:8" ht="12.75" customHeight="1">
      <c r="A6" s="500" t="s">
        <v>150</v>
      </c>
      <c r="B6" s="501"/>
      <c r="C6" s="502"/>
      <c r="D6" s="512"/>
      <c r="E6" s="513"/>
      <c r="F6" s="514"/>
      <c r="G6" s="176"/>
      <c r="H6" s="84"/>
    </row>
    <row r="7" spans="1:8" ht="12.75" customHeight="1">
      <c r="A7" s="503" t="s">
        <v>14</v>
      </c>
      <c r="B7" s="504"/>
      <c r="C7" s="505"/>
      <c r="D7" s="512" t="s">
        <v>348</v>
      </c>
      <c r="E7" s="513"/>
      <c r="F7" s="514"/>
      <c r="G7" s="246">
        <f>259.6*12*1.065</f>
        <v>3317.688</v>
      </c>
      <c r="H7" s="247"/>
    </row>
    <row r="8" spans="1:8" ht="12.75" customHeight="1">
      <c r="A8" s="503" t="s">
        <v>15</v>
      </c>
      <c r="B8" s="504"/>
      <c r="C8" s="505"/>
      <c r="D8" s="512" t="s">
        <v>180</v>
      </c>
      <c r="E8" s="513"/>
      <c r="F8" s="514"/>
      <c r="G8" s="246"/>
      <c r="H8" s="247"/>
    </row>
    <row r="9" spans="1:8" ht="12.75" customHeight="1">
      <c r="A9" s="503" t="s">
        <v>16</v>
      </c>
      <c r="B9" s="504"/>
      <c r="C9" s="505"/>
      <c r="D9" s="512" t="s">
        <v>349</v>
      </c>
      <c r="E9" s="513"/>
      <c r="F9" s="514"/>
      <c r="G9" s="246">
        <f>100*12*1.065</f>
        <v>1278</v>
      </c>
      <c r="H9" s="247"/>
    </row>
    <row r="10" spans="1:8" ht="12.75" customHeight="1">
      <c r="A10" s="503" t="s">
        <v>17</v>
      </c>
      <c r="B10" s="504"/>
      <c r="C10" s="505"/>
      <c r="D10" s="512"/>
      <c r="E10" s="513"/>
      <c r="F10" s="514"/>
      <c r="G10" s="248"/>
      <c r="H10" s="247"/>
    </row>
    <row r="11" spans="1:8" ht="33" customHeight="1">
      <c r="A11" s="497" t="s">
        <v>301</v>
      </c>
      <c r="B11" s="498"/>
      <c r="C11" s="499"/>
      <c r="D11" s="512" t="s">
        <v>342</v>
      </c>
      <c r="E11" s="513"/>
      <c r="F11" s="514"/>
      <c r="G11" s="246">
        <f>238.12*12*1.065</f>
        <v>3043.1736</v>
      </c>
      <c r="H11" s="247"/>
    </row>
    <row r="12" spans="1:8" ht="21" customHeight="1">
      <c r="A12" s="497" t="s">
        <v>151</v>
      </c>
      <c r="B12" s="498"/>
      <c r="C12" s="499"/>
      <c r="D12" s="512" t="s">
        <v>64</v>
      </c>
      <c r="E12" s="513"/>
      <c r="F12" s="514"/>
      <c r="G12" s="248"/>
      <c r="H12" s="247">
        <v>0</v>
      </c>
    </row>
    <row r="13" spans="1:8" ht="15" customHeight="1">
      <c r="A13" s="497" t="s">
        <v>374</v>
      </c>
      <c r="B13" s="498"/>
      <c r="C13" s="499"/>
      <c r="D13" s="515"/>
      <c r="E13" s="516"/>
      <c r="F13" s="517"/>
      <c r="G13" s="185"/>
      <c r="H13" s="84">
        <v>60000</v>
      </c>
    </row>
    <row r="14" spans="1:8" ht="12.75" customHeight="1" thickBot="1">
      <c r="A14" s="506"/>
      <c r="B14" s="507"/>
      <c r="C14" s="508"/>
      <c r="D14" s="506"/>
      <c r="E14" s="507"/>
      <c r="F14" s="508"/>
      <c r="G14" s="180"/>
      <c r="H14" s="85"/>
    </row>
    <row r="15" spans="1:8" ht="18.75" customHeight="1" thickBot="1">
      <c r="A15" s="509" t="s">
        <v>80</v>
      </c>
      <c r="B15" s="510"/>
      <c r="C15" s="511"/>
      <c r="D15" s="518"/>
      <c r="E15" s="519"/>
      <c r="F15" s="520"/>
      <c r="G15" s="178">
        <f>SUM(G5:G14)</f>
        <v>7638.8616</v>
      </c>
      <c r="H15" s="86">
        <f>SUM(H5:H14)</f>
        <v>60000</v>
      </c>
    </row>
    <row r="16" ht="8.25" customHeight="1">
      <c r="A16" t="s">
        <v>81</v>
      </c>
    </row>
    <row r="17" spans="1:9" ht="21.75" customHeight="1">
      <c r="A17" s="398" t="s">
        <v>331</v>
      </c>
      <c r="B17" s="521"/>
      <c r="C17" s="521"/>
      <c r="D17" s="521"/>
      <c r="E17" s="521"/>
      <c r="F17" s="521"/>
      <c r="G17" s="521"/>
      <c r="H17" s="521"/>
      <c r="I17" s="521"/>
    </row>
    <row r="18" ht="12.75">
      <c r="H18" s="163" t="s">
        <v>2</v>
      </c>
    </row>
    <row r="19" spans="1:8" ht="26.25" customHeight="1">
      <c r="A19" s="395" t="s">
        <v>19</v>
      </c>
      <c r="B19" s="418"/>
      <c r="C19" s="419"/>
      <c r="D19" s="395" t="s">
        <v>20</v>
      </c>
      <c r="E19" s="418"/>
      <c r="F19" s="419"/>
      <c r="G19" s="382" t="s">
        <v>3</v>
      </c>
      <c r="H19" s="383"/>
    </row>
    <row r="20" spans="1:8" ht="26.25" customHeight="1">
      <c r="A20" s="420"/>
      <c r="B20" s="421"/>
      <c r="C20" s="422"/>
      <c r="D20" s="420"/>
      <c r="E20" s="421"/>
      <c r="F20" s="422"/>
      <c r="G20" s="170" t="s">
        <v>254</v>
      </c>
      <c r="H20" s="164" t="s">
        <v>255</v>
      </c>
    </row>
    <row r="21" spans="1:8" ht="20.25" customHeight="1">
      <c r="A21" s="522" t="s">
        <v>264</v>
      </c>
      <c r="B21" s="523"/>
      <c r="C21" s="524"/>
      <c r="D21" s="525" t="s">
        <v>317</v>
      </c>
      <c r="E21" s="526"/>
      <c r="F21" s="527"/>
      <c r="G21" s="176"/>
      <c r="H21" s="84">
        <f>1900*4</f>
        <v>7600</v>
      </c>
    </row>
    <row r="22" spans="1:8" ht="12.75">
      <c r="A22" s="522"/>
      <c r="B22" s="523"/>
      <c r="C22" s="524"/>
      <c r="D22" s="515"/>
      <c r="E22" s="516"/>
      <c r="F22" s="517"/>
      <c r="G22" s="176"/>
      <c r="H22" s="84"/>
    </row>
    <row r="23" spans="1:8" ht="13.5" thickBot="1">
      <c r="A23" s="506"/>
      <c r="B23" s="507"/>
      <c r="C23" s="508"/>
      <c r="D23" s="533"/>
      <c r="E23" s="534"/>
      <c r="F23" s="535"/>
      <c r="G23" s="177"/>
      <c r="H23" s="101"/>
    </row>
    <row r="24" spans="1:8" ht="20.25" customHeight="1" thickBot="1">
      <c r="A24" s="509" t="s">
        <v>82</v>
      </c>
      <c r="B24" s="510"/>
      <c r="C24" s="511"/>
      <c r="D24" s="518"/>
      <c r="E24" s="519"/>
      <c r="F24" s="520"/>
      <c r="G24" s="178">
        <f>SUM(G21:G23)</f>
        <v>0</v>
      </c>
      <c r="H24" s="86">
        <f>SUM(H21:H23)</f>
        <v>7600</v>
      </c>
    </row>
    <row r="26" spans="1:9" ht="21" customHeight="1">
      <c r="A26" s="398" t="s">
        <v>332</v>
      </c>
      <c r="B26" s="496"/>
      <c r="C26" s="496"/>
      <c r="D26" s="496"/>
      <c r="E26" s="496"/>
      <c r="F26" s="496"/>
      <c r="G26" s="496"/>
      <c r="H26" s="496"/>
      <c r="I26" s="496"/>
    </row>
    <row r="27" spans="7:8" ht="12.75">
      <c r="G27" s="163"/>
      <c r="H27" s="163" t="s">
        <v>2</v>
      </c>
    </row>
    <row r="28" spans="1:9" ht="22.5" customHeight="1">
      <c r="A28" s="382" t="s">
        <v>11</v>
      </c>
      <c r="B28" s="390"/>
      <c r="C28" s="390"/>
      <c r="D28" s="383"/>
      <c r="E28" s="382" t="s">
        <v>3</v>
      </c>
      <c r="F28" s="390"/>
      <c r="G28" s="390"/>
      <c r="H28" s="405"/>
      <c r="I28" s="4"/>
    </row>
    <row r="29" spans="1:9" ht="19.5" customHeight="1">
      <c r="A29" s="545" t="s">
        <v>21</v>
      </c>
      <c r="B29" s="546"/>
      <c r="C29" s="546"/>
      <c r="D29" s="547"/>
      <c r="E29" s="531">
        <f>G41</f>
        <v>0</v>
      </c>
      <c r="F29" s="536"/>
      <c r="G29" s="536"/>
      <c r="H29" s="537"/>
      <c r="I29" s="4"/>
    </row>
    <row r="30" spans="1:9" ht="18.75" customHeight="1">
      <c r="A30" s="545" t="s">
        <v>22</v>
      </c>
      <c r="B30" s="546"/>
      <c r="C30" s="546"/>
      <c r="D30" s="547"/>
      <c r="E30" s="531">
        <f>'223-225'!C8</f>
        <v>193536</v>
      </c>
      <c r="F30" s="536"/>
      <c r="G30" s="536"/>
      <c r="H30" s="537" t="e">
        <f>'223-225'!#REF!</f>
        <v>#REF!</v>
      </c>
      <c r="I30" s="4"/>
    </row>
    <row r="31" spans="1:9" ht="18.75" customHeight="1" thickBot="1">
      <c r="A31" s="542" t="s">
        <v>23</v>
      </c>
      <c r="B31" s="543"/>
      <c r="C31" s="543"/>
      <c r="D31" s="544"/>
      <c r="E31" s="531">
        <f>'223-225'!C17</f>
        <v>0</v>
      </c>
      <c r="F31" s="536"/>
      <c r="G31" s="536"/>
      <c r="H31" s="537" t="e">
        <f>'223-225'!#REF!</f>
        <v>#REF!</v>
      </c>
      <c r="I31" s="4"/>
    </row>
    <row r="32" spans="1:9" ht="27" customHeight="1" thickBot="1">
      <c r="A32" s="509" t="s">
        <v>24</v>
      </c>
      <c r="B32" s="510"/>
      <c r="C32" s="510"/>
      <c r="D32" s="511"/>
      <c r="E32" s="539">
        <f>SUM(E29:G31)</f>
        <v>193536</v>
      </c>
      <c r="F32" s="540"/>
      <c r="G32" s="540"/>
      <c r="H32" s="541"/>
      <c r="I32" s="4"/>
    </row>
    <row r="34" spans="1:9" s="12" customFormat="1" ht="12.75">
      <c r="A34" s="538" t="s">
        <v>27</v>
      </c>
      <c r="B34" s="538"/>
      <c r="C34" s="538"/>
      <c r="D34" s="538"/>
      <c r="E34" s="538"/>
      <c r="F34" s="538"/>
      <c r="G34" s="538"/>
      <c r="H34" s="538"/>
      <c r="I34" s="538"/>
    </row>
    <row r="35" spans="1:9" s="12" customFormat="1" ht="14.25" customHeight="1">
      <c r="A35" s="20"/>
      <c r="B35" s="19"/>
      <c r="C35" s="19"/>
      <c r="D35" s="19"/>
      <c r="E35" s="19"/>
      <c r="F35" s="19"/>
      <c r="G35" s="163" t="s">
        <v>2</v>
      </c>
      <c r="H35" s="19"/>
      <c r="I35" s="19"/>
    </row>
    <row r="36" spans="1:8" ht="30" customHeight="1">
      <c r="A36" s="382" t="s">
        <v>11</v>
      </c>
      <c r="B36" s="390"/>
      <c r="C36" s="383"/>
      <c r="D36" s="382" t="s">
        <v>12</v>
      </c>
      <c r="E36" s="390"/>
      <c r="F36" s="383"/>
      <c r="G36" s="382" t="s">
        <v>3</v>
      </c>
      <c r="H36" s="383"/>
    </row>
    <row r="37" spans="1:8" ht="19.5" customHeight="1">
      <c r="A37" s="500" t="s">
        <v>25</v>
      </c>
      <c r="B37" s="501"/>
      <c r="C37" s="502"/>
      <c r="D37" s="528"/>
      <c r="E37" s="529"/>
      <c r="F37" s="530"/>
      <c r="G37" s="531"/>
      <c r="H37" s="532"/>
    </row>
    <row r="38" spans="1:8" ht="12.75">
      <c r="A38" s="500" t="s">
        <v>26</v>
      </c>
      <c r="B38" s="501"/>
      <c r="C38" s="502"/>
      <c r="D38" s="528"/>
      <c r="E38" s="529"/>
      <c r="F38" s="530"/>
      <c r="G38" s="531" t="s">
        <v>180</v>
      </c>
      <c r="H38" s="532"/>
    </row>
    <row r="39" spans="1:8" ht="12.75">
      <c r="A39" s="500"/>
      <c r="B39" s="501"/>
      <c r="C39" s="502"/>
      <c r="D39" s="528"/>
      <c r="E39" s="529"/>
      <c r="F39" s="530"/>
      <c r="G39" s="531"/>
      <c r="H39" s="532"/>
    </row>
    <row r="40" spans="1:8" ht="13.5" thickBot="1">
      <c r="A40" s="556"/>
      <c r="B40" s="557"/>
      <c r="C40" s="558"/>
      <c r="D40" s="556"/>
      <c r="E40" s="557"/>
      <c r="F40" s="558"/>
      <c r="G40" s="559"/>
      <c r="H40" s="560"/>
    </row>
    <row r="41" spans="1:8" ht="20.25" customHeight="1" thickTop="1">
      <c r="A41" s="548" t="s">
        <v>18</v>
      </c>
      <c r="B41" s="549"/>
      <c r="C41" s="550"/>
      <c r="D41" s="551"/>
      <c r="E41" s="552"/>
      <c r="F41" s="553"/>
      <c r="G41" s="554">
        <f>SUM(G37:H40)</f>
        <v>0</v>
      </c>
      <c r="H41" s="555"/>
    </row>
  </sheetData>
  <sheetProtection/>
  <mergeCells count="68">
    <mergeCell ref="A39:C39"/>
    <mergeCell ref="D39:F39"/>
    <mergeCell ref="G39:H39"/>
    <mergeCell ref="A41:C41"/>
    <mergeCell ref="D41:F41"/>
    <mergeCell ref="G41:H41"/>
    <mergeCell ref="A40:C40"/>
    <mergeCell ref="D40:F40"/>
    <mergeCell ref="G40:H40"/>
    <mergeCell ref="G37:H37"/>
    <mergeCell ref="E28:H28"/>
    <mergeCell ref="E29:H29"/>
    <mergeCell ref="E31:H31"/>
    <mergeCell ref="A32:D32"/>
    <mergeCell ref="A34:I34"/>
    <mergeCell ref="E32:H32"/>
    <mergeCell ref="A31:D31"/>
    <mergeCell ref="A30:D30"/>
    <mergeCell ref="E30:H30"/>
    <mergeCell ref="G38:H38"/>
    <mergeCell ref="A23:C23"/>
    <mergeCell ref="D23:F23"/>
    <mergeCell ref="A37:C37"/>
    <mergeCell ref="D37:F37"/>
    <mergeCell ref="A26:I26"/>
    <mergeCell ref="A36:C36"/>
    <mergeCell ref="D36:F36"/>
    <mergeCell ref="G36:H36"/>
    <mergeCell ref="A28:D28"/>
    <mergeCell ref="A22:C22"/>
    <mergeCell ref="D22:F22"/>
    <mergeCell ref="A21:C21"/>
    <mergeCell ref="D21:F21"/>
    <mergeCell ref="A38:C38"/>
    <mergeCell ref="D38:F38"/>
    <mergeCell ref="A24:C24"/>
    <mergeCell ref="D24:F24"/>
    <mergeCell ref="A29:D29"/>
    <mergeCell ref="D12:F12"/>
    <mergeCell ref="D13:F13"/>
    <mergeCell ref="D14:F14"/>
    <mergeCell ref="D15:F15"/>
    <mergeCell ref="A17:I17"/>
    <mergeCell ref="G19:H19"/>
    <mergeCell ref="A19:C20"/>
    <mergeCell ref="D19:F20"/>
    <mergeCell ref="A14:C14"/>
    <mergeCell ref="A15:C15"/>
    <mergeCell ref="A7:C7"/>
    <mergeCell ref="D5:F5"/>
    <mergeCell ref="D6:F6"/>
    <mergeCell ref="D7:F7"/>
    <mergeCell ref="D8:F8"/>
    <mergeCell ref="D9:F9"/>
    <mergeCell ref="D10:F10"/>
    <mergeCell ref="D11:F11"/>
    <mergeCell ref="A8:C8"/>
    <mergeCell ref="A9:C9"/>
    <mergeCell ref="A10:C10"/>
    <mergeCell ref="A11:C11"/>
    <mergeCell ref="A12:C12"/>
    <mergeCell ref="A13:C13"/>
    <mergeCell ref="A1:I1"/>
    <mergeCell ref="G3:H3"/>
    <mergeCell ref="A3:C4"/>
    <mergeCell ref="D3:F4"/>
    <mergeCell ref="A5:C5"/>
    <mergeCell ref="A6:C6"/>
  </mergeCells>
  <printOptions/>
  <pageMargins left="0.68" right="0.44" top="0.56" bottom="0.37" header="0.5" footer="0.5"/>
  <pageSetup fitToHeight="1" fitToWidth="1" horizontalDpi="600" verticalDpi="600" orientation="portrait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75" zoomScaleSheetLayoutView="75" zoomScalePageLayoutView="0" workbookViewId="0" topLeftCell="A25">
      <selection activeCell="B44" sqref="B44"/>
    </sheetView>
  </sheetViews>
  <sheetFormatPr defaultColWidth="9.00390625" defaultRowHeight="12.75"/>
  <cols>
    <col min="1" max="1" width="24.00390625" style="0" customWidth="1"/>
    <col min="2" max="2" width="29.75390625" style="0" customWidth="1"/>
    <col min="3" max="3" width="12.75390625" style="0" customWidth="1"/>
    <col min="4" max="4" width="15.00390625" style="0" customWidth="1"/>
  </cols>
  <sheetData>
    <row r="1" spans="1:5" ht="17.25" customHeight="1">
      <c r="A1" s="538" t="s">
        <v>28</v>
      </c>
      <c r="B1" s="538"/>
      <c r="C1" s="538"/>
      <c r="D1" s="538"/>
      <c r="E1" s="538"/>
    </row>
    <row r="2" spans="1:5" ht="18.75" customHeight="1">
      <c r="A2" s="20"/>
      <c r="B2" s="19"/>
      <c r="C2" s="19"/>
      <c r="D2" s="163" t="s">
        <v>2</v>
      </c>
      <c r="E2" s="19"/>
    </row>
    <row r="3" spans="1:4" ht="24.75" customHeight="1">
      <c r="A3" s="262" t="s">
        <v>11</v>
      </c>
      <c r="B3" s="262" t="s">
        <v>12</v>
      </c>
      <c r="C3" s="382" t="s">
        <v>3</v>
      </c>
      <c r="D3" s="383"/>
    </row>
    <row r="4" spans="1:4" ht="26.25" customHeight="1">
      <c r="A4" s="221" t="s">
        <v>29</v>
      </c>
      <c r="B4" s="153" t="s">
        <v>343</v>
      </c>
      <c r="C4" s="531">
        <f>28000*6.4*1.08</f>
        <v>193536</v>
      </c>
      <c r="D4" s="532"/>
    </row>
    <row r="5" spans="1:4" ht="12.75" customHeight="1">
      <c r="A5" s="264"/>
      <c r="B5" s="153" t="s">
        <v>344</v>
      </c>
      <c r="C5" s="531"/>
      <c r="D5" s="532"/>
    </row>
    <row r="6" spans="1:4" ht="12.75" customHeight="1">
      <c r="A6" s="225"/>
      <c r="B6" s="153" t="s">
        <v>345</v>
      </c>
      <c r="C6" s="531"/>
      <c r="D6" s="532"/>
    </row>
    <row r="7" spans="1:4" ht="13.5" thickBot="1">
      <c r="A7" s="152"/>
      <c r="B7" s="152"/>
      <c r="C7" s="561"/>
      <c r="D7" s="562"/>
    </row>
    <row r="8" spans="1:4" ht="29.25" customHeight="1" thickTop="1">
      <c r="A8" s="265" t="s">
        <v>18</v>
      </c>
      <c r="B8" s="266"/>
      <c r="C8" s="554">
        <f>C4+C5+C6+C7</f>
        <v>193536</v>
      </c>
      <c r="D8" s="555"/>
    </row>
    <row r="10" spans="1:5" ht="12.75">
      <c r="A10" s="538" t="s">
        <v>30</v>
      </c>
      <c r="B10" s="538"/>
      <c r="C10" s="538"/>
      <c r="D10" s="538"/>
      <c r="E10" s="538"/>
    </row>
    <row r="11" spans="1:5" ht="16.5" customHeight="1">
      <c r="A11" s="20"/>
      <c r="B11" s="19"/>
      <c r="C11" s="19"/>
      <c r="D11" s="163" t="s">
        <v>2</v>
      </c>
      <c r="E11" s="19"/>
    </row>
    <row r="12" spans="1:4" ht="27.75" customHeight="1">
      <c r="A12" s="262" t="s">
        <v>11</v>
      </c>
      <c r="B12" s="262" t="s">
        <v>12</v>
      </c>
      <c r="C12" s="382" t="s">
        <v>3</v>
      </c>
      <c r="D12" s="383"/>
    </row>
    <row r="13" spans="1:4" ht="23.25" customHeight="1">
      <c r="A13" s="221" t="s">
        <v>31</v>
      </c>
      <c r="B13" s="263"/>
      <c r="C13" s="531">
        <v>0</v>
      </c>
      <c r="D13" s="532"/>
    </row>
    <row r="14" spans="1:4" ht="12.75" customHeight="1">
      <c r="A14" s="221" t="s">
        <v>32</v>
      </c>
      <c r="B14" s="263"/>
      <c r="C14" s="531"/>
      <c r="D14" s="532"/>
    </row>
    <row r="15" spans="1:4" ht="12.75">
      <c r="A15" s="267"/>
      <c r="B15" s="153"/>
      <c r="C15" s="531"/>
      <c r="D15" s="532"/>
    </row>
    <row r="16" spans="1:4" ht="13.5" thickBot="1">
      <c r="A16" s="152"/>
      <c r="B16" s="268"/>
      <c r="C16" s="561"/>
      <c r="D16" s="562"/>
    </row>
    <row r="17" spans="1:4" ht="24" customHeight="1" thickTop="1">
      <c r="A17" s="265" t="s">
        <v>18</v>
      </c>
      <c r="B17" s="266"/>
      <c r="C17" s="554">
        <f>C13+C14+C15</f>
        <v>0</v>
      </c>
      <c r="D17" s="555"/>
    </row>
    <row r="19" spans="1:5" ht="24" customHeight="1">
      <c r="A19" s="398" t="s">
        <v>333</v>
      </c>
      <c r="B19" s="496"/>
      <c r="C19" s="496"/>
      <c r="D19" s="496"/>
      <c r="E19" s="496"/>
    </row>
    <row r="20" ht="14.25" customHeight="1">
      <c r="D20" s="163" t="s">
        <v>2</v>
      </c>
    </row>
    <row r="21" spans="1:4" ht="30" customHeight="1">
      <c r="A21" s="395" t="s">
        <v>11</v>
      </c>
      <c r="B21" s="395" t="s">
        <v>12</v>
      </c>
      <c r="C21" s="382" t="s">
        <v>3</v>
      </c>
      <c r="D21" s="383"/>
    </row>
    <row r="22" spans="1:4" ht="24.75" customHeight="1">
      <c r="A22" s="563"/>
      <c r="B22" s="563"/>
      <c r="C22" s="170" t="s">
        <v>254</v>
      </c>
      <c r="D22" s="164" t="s">
        <v>255</v>
      </c>
    </row>
    <row r="23" spans="1:4" ht="21.75" customHeight="1">
      <c r="A23" s="270" t="s">
        <v>258</v>
      </c>
      <c r="B23" s="271"/>
      <c r="C23" s="204"/>
      <c r="D23" s="205"/>
    </row>
    <row r="24" spans="1:4" ht="39" customHeight="1">
      <c r="A24" s="270" t="s">
        <v>33</v>
      </c>
      <c r="B24" s="269" t="s">
        <v>346</v>
      </c>
      <c r="C24" s="186">
        <f>21024*1.065</f>
        <v>22390.559999999998</v>
      </c>
      <c r="D24" s="88"/>
    </row>
    <row r="25" spans="1:4" ht="22.5" customHeight="1">
      <c r="A25" s="270" t="s">
        <v>34</v>
      </c>
      <c r="B25" s="272"/>
      <c r="C25" s="186"/>
      <c r="D25" s="88"/>
    </row>
    <row r="26" spans="1:4" ht="21" customHeight="1">
      <c r="A26" s="273" t="s">
        <v>191</v>
      </c>
      <c r="B26" s="272"/>
      <c r="C26" s="171"/>
      <c r="D26" s="88">
        <v>0</v>
      </c>
    </row>
    <row r="27" spans="1:4" ht="12" customHeight="1" thickBot="1">
      <c r="A27" s="152"/>
      <c r="B27" s="152"/>
      <c r="C27" s="172"/>
      <c r="D27" s="89"/>
    </row>
    <row r="28" spans="1:4" ht="27.75" customHeight="1" thickTop="1">
      <c r="A28" s="274" t="s">
        <v>18</v>
      </c>
      <c r="B28" s="275"/>
      <c r="C28" s="244">
        <f>SUM(C23:C27)</f>
        <v>22390.559999999998</v>
      </c>
      <c r="D28" s="245">
        <f>SUM(D23:D27)</f>
        <v>0</v>
      </c>
    </row>
    <row r="29" ht="14.25" customHeight="1"/>
    <row r="30" spans="1:5" s="21" customFormat="1" ht="23.25" customHeight="1">
      <c r="A30" s="538" t="s">
        <v>152</v>
      </c>
      <c r="B30" s="538"/>
      <c r="C30" s="538"/>
      <c r="D30" s="538"/>
      <c r="E30" s="538"/>
    </row>
    <row r="31" spans="1:5" ht="20.25" customHeight="1">
      <c r="A31" s="20"/>
      <c r="B31" s="19"/>
      <c r="C31" s="19"/>
      <c r="D31" s="163" t="s">
        <v>2</v>
      </c>
      <c r="E31" s="19"/>
    </row>
    <row r="32" spans="1:4" ht="27.75" customHeight="1">
      <c r="A32" s="262" t="s">
        <v>11</v>
      </c>
      <c r="B32" s="262" t="s">
        <v>12</v>
      </c>
      <c r="C32" s="382" t="s">
        <v>3</v>
      </c>
      <c r="D32" s="383"/>
    </row>
    <row r="33" spans="1:4" ht="27" customHeight="1">
      <c r="A33" s="277" t="s">
        <v>35</v>
      </c>
      <c r="B33" s="225"/>
      <c r="C33" s="566"/>
      <c r="D33" s="537"/>
    </row>
    <row r="34" spans="1:4" ht="15.75" customHeight="1">
      <c r="A34" s="276"/>
      <c r="B34" s="153"/>
      <c r="C34" s="564"/>
      <c r="D34" s="565"/>
    </row>
    <row r="35" spans="1:4" ht="15.75" customHeight="1">
      <c r="A35" s="276"/>
      <c r="B35" s="153"/>
      <c r="C35" s="564"/>
      <c r="D35" s="565"/>
    </row>
    <row r="36" spans="1:4" ht="15.75" customHeight="1">
      <c r="A36" s="276"/>
      <c r="B36" s="153"/>
      <c r="C36" s="567"/>
      <c r="D36" s="568"/>
    </row>
    <row r="37" spans="1:4" ht="15.75" customHeight="1" thickBot="1">
      <c r="A37" s="279"/>
      <c r="B37" s="152"/>
      <c r="C37" s="571"/>
      <c r="D37" s="572"/>
    </row>
    <row r="38" spans="1:4" ht="25.5" customHeight="1" thickTop="1">
      <c r="A38" s="278" t="s">
        <v>18</v>
      </c>
      <c r="B38" s="266"/>
      <c r="C38" s="569">
        <f>SUM(C33:D37)</f>
        <v>0</v>
      </c>
      <c r="D38" s="570"/>
    </row>
  </sheetData>
  <sheetProtection/>
  <mergeCells count="26">
    <mergeCell ref="C34:D34"/>
    <mergeCell ref="C33:D33"/>
    <mergeCell ref="C36:D36"/>
    <mergeCell ref="C35:D35"/>
    <mergeCell ref="C38:D38"/>
    <mergeCell ref="C37:D37"/>
    <mergeCell ref="A19:E19"/>
    <mergeCell ref="C21:D21"/>
    <mergeCell ref="A21:A22"/>
    <mergeCell ref="B21:B22"/>
    <mergeCell ref="A30:E30"/>
    <mergeCell ref="C32:D32"/>
    <mergeCell ref="C13:D13"/>
    <mergeCell ref="A10:E10"/>
    <mergeCell ref="C12:D12"/>
    <mergeCell ref="C15:D15"/>
    <mergeCell ref="C14:D14"/>
    <mergeCell ref="C17:D17"/>
    <mergeCell ref="C16:D16"/>
    <mergeCell ref="C4:D4"/>
    <mergeCell ref="A1:E1"/>
    <mergeCell ref="C3:D3"/>
    <mergeCell ref="C6:D6"/>
    <mergeCell ref="C5:D5"/>
    <mergeCell ref="C8:D8"/>
    <mergeCell ref="C7:D7"/>
  </mergeCells>
  <printOptions/>
  <pageMargins left="0.75" right="0.25" top="0.4" bottom="0.22" header="0.3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75" zoomScaleSheetLayoutView="75" zoomScalePageLayoutView="0" workbookViewId="0" topLeftCell="A16">
      <selection activeCell="B28" sqref="B28"/>
    </sheetView>
  </sheetViews>
  <sheetFormatPr defaultColWidth="9.00390625" defaultRowHeight="12.75"/>
  <cols>
    <col min="1" max="1" width="31.625" style="0" customWidth="1"/>
    <col min="2" max="2" width="29.625" style="0" customWidth="1"/>
    <col min="3" max="3" width="14.00390625" style="0" customWidth="1"/>
    <col min="4" max="4" width="12.75390625" style="0" customWidth="1"/>
  </cols>
  <sheetData>
    <row r="1" ht="12.75">
      <c r="D1" s="163" t="s">
        <v>2</v>
      </c>
    </row>
    <row r="2" spans="1:4" ht="21.75" customHeight="1">
      <c r="A2" s="395" t="s">
        <v>11</v>
      </c>
      <c r="B2" s="395" t="s">
        <v>12</v>
      </c>
      <c r="C2" s="382" t="s">
        <v>3</v>
      </c>
      <c r="D2" s="383"/>
    </row>
    <row r="3" spans="1:4" ht="33.75">
      <c r="A3" s="420"/>
      <c r="B3" s="420"/>
      <c r="C3" s="170" t="s">
        <v>254</v>
      </c>
      <c r="D3" s="164" t="s">
        <v>255</v>
      </c>
    </row>
    <row r="4" spans="1:4" ht="24.75" customHeight="1">
      <c r="A4" s="236" t="s">
        <v>36</v>
      </c>
      <c r="B4" s="153" t="s">
        <v>64</v>
      </c>
      <c r="C4" s="206"/>
      <c r="D4" s="207"/>
    </row>
    <row r="5" spans="1:4" ht="24.75" customHeight="1">
      <c r="A5" s="237" t="s">
        <v>37</v>
      </c>
      <c r="B5" s="153" t="s">
        <v>354</v>
      </c>
      <c r="C5" s="171">
        <v>39387</v>
      </c>
      <c r="D5" s="207"/>
    </row>
    <row r="6" spans="1:4" ht="24.75" customHeight="1">
      <c r="A6" s="231" t="s">
        <v>39</v>
      </c>
      <c r="B6" s="153" t="s">
        <v>353</v>
      </c>
      <c r="C6" s="186">
        <f>2338*1.065</f>
        <v>2489.97</v>
      </c>
      <c r="D6" s="207"/>
    </row>
    <row r="7" spans="1:4" ht="24.75" customHeight="1">
      <c r="A7" s="237" t="s">
        <v>38</v>
      </c>
      <c r="B7" s="226"/>
      <c r="C7" s="171"/>
      <c r="D7" s="207"/>
    </row>
    <row r="8" spans="1:4" ht="24.75" customHeight="1">
      <c r="A8" s="221" t="s">
        <v>300</v>
      </c>
      <c r="B8" s="153" t="s">
        <v>64</v>
      </c>
      <c r="C8" s="206"/>
      <c r="D8" s="208"/>
    </row>
    <row r="9" spans="1:4" ht="24.75" customHeight="1">
      <c r="A9" s="225"/>
      <c r="B9" s="230"/>
      <c r="C9" s="209"/>
      <c r="D9" s="208"/>
    </row>
    <row r="10" spans="1:4" ht="13.5" thickBot="1">
      <c r="A10" s="229"/>
      <c r="B10" s="152"/>
      <c r="C10" s="175"/>
      <c r="D10" s="87"/>
    </row>
    <row r="11" spans="1:4" ht="18.75" customHeight="1" thickBot="1" thickTop="1">
      <c r="A11" s="227" t="s">
        <v>18</v>
      </c>
      <c r="B11" s="228"/>
      <c r="C11" s="210">
        <f>SUM(C4:C10)</f>
        <v>41876.97</v>
      </c>
      <c r="D11" s="211">
        <f>SUM(D4:D10)</f>
        <v>0</v>
      </c>
    </row>
    <row r="12" spans="1:4" ht="27.75" customHeight="1" thickBot="1">
      <c r="A12" s="232" t="s">
        <v>83</v>
      </c>
      <c r="B12" s="223"/>
      <c r="C12" s="212">
        <f>C11+'223-225'!C38+'223-225'!C28</f>
        <v>64267.53</v>
      </c>
      <c r="D12" s="213">
        <f>D11+'223-225'!D28</f>
        <v>0</v>
      </c>
    </row>
    <row r="13" spans="1:4" ht="9" customHeight="1">
      <c r="A13" s="26"/>
      <c r="B13" s="18"/>
      <c r="C13" s="23"/>
      <c r="D13" s="23"/>
    </row>
    <row r="14" spans="1:5" ht="21.75" customHeight="1">
      <c r="A14" s="398" t="s">
        <v>334</v>
      </c>
      <c r="B14" s="496"/>
      <c r="C14" s="496"/>
      <c r="D14" s="496"/>
      <c r="E14" s="496"/>
    </row>
    <row r="15" ht="12" customHeight="1">
      <c r="D15" s="163" t="s">
        <v>2</v>
      </c>
    </row>
    <row r="16" spans="1:4" ht="18" customHeight="1">
      <c r="A16" s="395" t="s">
        <v>11</v>
      </c>
      <c r="B16" s="395" t="s">
        <v>12</v>
      </c>
      <c r="C16" s="382" t="s">
        <v>3</v>
      </c>
      <c r="D16" s="383"/>
    </row>
    <row r="17" spans="1:4" ht="24.75" customHeight="1">
      <c r="A17" s="420"/>
      <c r="B17" s="420"/>
      <c r="C17" s="170" t="s">
        <v>254</v>
      </c>
      <c r="D17" s="164" t="s">
        <v>255</v>
      </c>
    </row>
    <row r="18" spans="1:4" ht="28.5" customHeight="1">
      <c r="A18" s="221" t="s">
        <v>40</v>
      </c>
      <c r="B18" s="153" t="s">
        <v>318</v>
      </c>
      <c r="C18" s="176"/>
      <c r="D18" s="84">
        <f>500*2*14</f>
        <v>14000</v>
      </c>
    </row>
    <row r="19" spans="1:4" ht="28.5" customHeight="1">
      <c r="A19" s="233" t="s">
        <v>41</v>
      </c>
      <c r="B19" s="153"/>
      <c r="C19" s="176"/>
      <c r="D19" s="84"/>
    </row>
    <row r="20" spans="1:4" ht="28.5" customHeight="1">
      <c r="A20" s="221" t="s">
        <v>42</v>
      </c>
      <c r="B20" s="153"/>
      <c r="C20" s="176"/>
      <c r="D20" s="84"/>
    </row>
    <row r="21" spans="1:4" ht="28.5" customHeight="1">
      <c r="A21" s="221" t="s">
        <v>288</v>
      </c>
      <c r="B21" s="153" t="s">
        <v>321</v>
      </c>
      <c r="C21" s="176"/>
      <c r="D21" s="247">
        <v>84839</v>
      </c>
    </row>
    <row r="22" spans="1:4" ht="28.5" customHeight="1">
      <c r="A22" s="233" t="s">
        <v>259</v>
      </c>
      <c r="B22" s="153"/>
      <c r="C22" s="176"/>
      <c r="D22" s="84"/>
    </row>
    <row r="23" spans="1:4" ht="28.5" customHeight="1">
      <c r="A23" s="221" t="s">
        <v>300</v>
      </c>
      <c r="B23" s="153" t="s">
        <v>319</v>
      </c>
      <c r="C23" s="176">
        <v>98661.38</v>
      </c>
      <c r="D23" s="84"/>
    </row>
    <row r="24" spans="1:4" ht="28.5" customHeight="1">
      <c r="A24" s="221" t="s">
        <v>351</v>
      </c>
      <c r="B24" s="153" t="s">
        <v>352</v>
      </c>
      <c r="C24" s="176"/>
      <c r="D24" s="84">
        <f>1190*1.065</f>
        <v>1267.35</v>
      </c>
    </row>
    <row r="25" spans="1:4" ht="28.5" customHeight="1">
      <c r="A25" s="221" t="s">
        <v>44</v>
      </c>
      <c r="B25" s="153" t="s">
        <v>64</v>
      </c>
      <c r="C25" s="176"/>
      <c r="D25" s="84">
        <v>16000</v>
      </c>
    </row>
    <row r="26" spans="1:4" ht="45.75" customHeight="1">
      <c r="A26" s="221" t="s">
        <v>45</v>
      </c>
      <c r="B26" s="153" t="s">
        <v>350</v>
      </c>
      <c r="C26" s="246">
        <f>17820*1.065</f>
        <v>18978.3</v>
      </c>
      <c r="D26" s="247">
        <f>28360/8*7*1.065</f>
        <v>26427.975</v>
      </c>
    </row>
    <row r="27" spans="1:4" ht="20.25" customHeight="1">
      <c r="A27" s="221" t="s">
        <v>46</v>
      </c>
      <c r="B27" s="153"/>
      <c r="C27" s="176"/>
      <c r="D27" s="84"/>
    </row>
    <row r="28" spans="1:4" ht="18.75" customHeight="1">
      <c r="A28" s="236" t="s">
        <v>356</v>
      </c>
      <c r="B28" s="153" t="s">
        <v>64</v>
      </c>
      <c r="C28" s="176"/>
      <c r="D28" s="84">
        <v>8000</v>
      </c>
    </row>
    <row r="29" spans="1:4" ht="13.5" thickBot="1">
      <c r="A29" s="235"/>
      <c r="B29" s="224"/>
      <c r="C29" s="177"/>
      <c r="D29" s="101"/>
    </row>
    <row r="30" spans="1:4" ht="25.5" customHeight="1" thickBot="1">
      <c r="A30" s="222" t="s">
        <v>84</v>
      </c>
      <c r="B30" s="234"/>
      <c r="C30" s="249">
        <f>SUM(C18:C29)</f>
        <v>117639.68000000001</v>
      </c>
      <c r="D30" s="250">
        <f>SUM(D18:D29)</f>
        <v>150534.325</v>
      </c>
    </row>
    <row r="33" ht="12.75">
      <c r="C33" s="80"/>
    </row>
  </sheetData>
  <sheetProtection/>
  <mergeCells count="7">
    <mergeCell ref="C2:D2"/>
    <mergeCell ref="A14:E14"/>
    <mergeCell ref="C16:D16"/>
    <mergeCell ref="A16:A17"/>
    <mergeCell ref="B16:B17"/>
    <mergeCell ref="A2:A3"/>
    <mergeCell ref="B2:B3"/>
  </mergeCells>
  <printOptions/>
  <pageMargins left="0.7" right="0.3" top="0.38" bottom="0.58" header="0.45" footer="0.5"/>
  <pageSetup horizontalDpi="600" verticalDpi="600" orientation="portrait" paperSize="9" scale="9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75" zoomScaleSheetLayoutView="75" zoomScalePageLayoutView="0" workbookViewId="0" topLeftCell="A1">
      <selection activeCell="H5" sqref="H5:I5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1.00390625" style="0" customWidth="1"/>
    <col min="4" max="4" width="9.75390625" style="0" customWidth="1"/>
    <col min="5" max="5" width="9.25390625" style="0" customWidth="1"/>
    <col min="6" max="6" width="10.25390625" style="0" customWidth="1"/>
    <col min="7" max="7" width="10.75390625" style="0" customWidth="1"/>
    <col min="9" max="9" width="9.25390625" style="0" customWidth="1"/>
  </cols>
  <sheetData>
    <row r="1" spans="1:9" ht="16.5" customHeight="1">
      <c r="A1" s="398" t="s">
        <v>335</v>
      </c>
      <c r="B1" s="576"/>
      <c r="C1" s="576"/>
      <c r="D1" s="576"/>
      <c r="E1" s="576"/>
      <c r="F1" s="576"/>
      <c r="G1" s="576"/>
      <c r="H1" s="576"/>
      <c r="I1" s="576"/>
    </row>
    <row r="2" spans="7:9" ht="12.75">
      <c r="G2" s="5"/>
      <c r="I2" s="2" t="s">
        <v>2</v>
      </c>
    </row>
    <row r="3" spans="1:9" ht="27" customHeight="1">
      <c r="A3" s="382" t="s">
        <v>11</v>
      </c>
      <c r="B3" s="390"/>
      <c r="C3" s="383"/>
      <c r="D3" s="382" t="s">
        <v>12</v>
      </c>
      <c r="E3" s="390"/>
      <c r="F3" s="390"/>
      <c r="G3" s="383"/>
      <c r="H3" s="586" t="s">
        <v>3</v>
      </c>
      <c r="I3" s="587"/>
    </row>
    <row r="4" spans="1:9" ht="24" customHeight="1">
      <c r="A4" s="599" t="s">
        <v>170</v>
      </c>
      <c r="B4" s="600"/>
      <c r="C4" s="601"/>
      <c r="D4" s="602" t="s">
        <v>370</v>
      </c>
      <c r="E4" s="603"/>
      <c r="F4" s="603"/>
      <c r="G4" s="604"/>
      <c r="H4" s="605">
        <f>7*45*95</f>
        <v>29925</v>
      </c>
      <c r="I4" s="606"/>
    </row>
    <row r="5" spans="1:9" ht="20.25" customHeight="1">
      <c r="A5" s="583" t="s">
        <v>339</v>
      </c>
      <c r="B5" s="584"/>
      <c r="C5" s="585"/>
      <c r="D5" s="607"/>
      <c r="E5" s="608"/>
      <c r="F5" s="608"/>
      <c r="G5" s="609"/>
      <c r="H5" s="610">
        <f>'211'!I29*6</f>
        <v>1194715.1879999998</v>
      </c>
      <c r="I5" s="611"/>
    </row>
    <row r="6" spans="1:9" ht="12.75">
      <c r="A6" s="542"/>
      <c r="B6" s="543"/>
      <c r="C6" s="544"/>
      <c r="D6" s="607"/>
      <c r="E6" s="608"/>
      <c r="F6" s="608"/>
      <c r="G6" s="609"/>
      <c r="H6" s="612"/>
      <c r="I6" s="613"/>
    </row>
    <row r="7" spans="1:9" ht="12.75" customHeight="1">
      <c r="A7" s="617"/>
      <c r="B7" s="618"/>
      <c r="C7" s="619"/>
      <c r="D7" s="620"/>
      <c r="E7" s="621"/>
      <c r="F7" s="621"/>
      <c r="G7" s="622"/>
      <c r="H7" s="623"/>
      <c r="I7" s="624"/>
    </row>
    <row r="8" spans="1:9" ht="13.5" thickBot="1">
      <c r="A8" s="542"/>
      <c r="B8" s="543"/>
      <c r="C8" s="544"/>
      <c r="D8" s="506"/>
      <c r="E8" s="592"/>
      <c r="F8" s="592"/>
      <c r="G8" s="451"/>
      <c r="H8" s="588"/>
      <c r="I8" s="589"/>
    </row>
    <row r="9" spans="1:9" ht="15.75" customHeight="1" thickBot="1">
      <c r="A9" s="614" t="s">
        <v>171</v>
      </c>
      <c r="B9" s="615"/>
      <c r="C9" s="616"/>
      <c r="D9" s="518"/>
      <c r="E9" s="519"/>
      <c r="F9" s="519"/>
      <c r="G9" s="520"/>
      <c r="H9" s="590">
        <f>SUM(H4:I8)</f>
        <v>1224640.1879999998</v>
      </c>
      <c r="I9" s="591"/>
    </row>
    <row r="11" spans="1:9" ht="16.5" customHeight="1">
      <c r="A11" s="398" t="s">
        <v>336</v>
      </c>
      <c r="B11" s="576"/>
      <c r="C11" s="576"/>
      <c r="D11" s="576"/>
      <c r="E11" s="576"/>
      <c r="F11" s="576"/>
      <c r="G11" s="576"/>
      <c r="H11" s="576"/>
      <c r="I11" s="576"/>
    </row>
    <row r="12" spans="7:9" ht="12.75">
      <c r="G12" s="5"/>
      <c r="I12" s="2" t="s">
        <v>2</v>
      </c>
    </row>
    <row r="13" spans="1:9" ht="24.75" customHeight="1">
      <c r="A13" s="382" t="s">
        <v>11</v>
      </c>
      <c r="B13" s="390"/>
      <c r="C13" s="383"/>
      <c r="D13" s="382" t="s">
        <v>12</v>
      </c>
      <c r="E13" s="390"/>
      <c r="F13" s="390"/>
      <c r="G13" s="383"/>
      <c r="H13" s="586" t="s">
        <v>3</v>
      </c>
      <c r="I13" s="587"/>
    </row>
    <row r="14" spans="1:9" ht="12.75" customHeight="1">
      <c r="A14" s="583" t="s">
        <v>47</v>
      </c>
      <c r="B14" s="584"/>
      <c r="C14" s="585"/>
      <c r="D14" s="580" t="s">
        <v>294</v>
      </c>
      <c r="E14" s="581"/>
      <c r="F14" s="581"/>
      <c r="G14" s="582"/>
      <c r="H14" s="610">
        <f>'[1]новый 290'!$E$33</f>
        <v>368</v>
      </c>
      <c r="I14" s="611"/>
    </row>
    <row r="15" spans="1:9" ht="12.75">
      <c r="A15" s="577"/>
      <c r="B15" s="578"/>
      <c r="C15" s="579"/>
      <c r="D15" s="512"/>
      <c r="E15" s="632"/>
      <c r="F15" s="632"/>
      <c r="G15" s="633"/>
      <c r="H15" s="628"/>
      <c r="I15" s="629"/>
    </row>
    <row r="16" spans="1:9" ht="12.75" customHeight="1">
      <c r="A16" s="625" t="s">
        <v>48</v>
      </c>
      <c r="B16" s="626"/>
      <c r="C16" s="627"/>
      <c r="D16" s="573" t="s">
        <v>64</v>
      </c>
      <c r="E16" s="574"/>
      <c r="F16" s="574"/>
      <c r="G16" s="575"/>
      <c r="H16" s="630"/>
      <c r="I16" s="631"/>
    </row>
    <row r="17" spans="1:9" ht="13.5" thickBot="1">
      <c r="A17" s="542"/>
      <c r="B17" s="543"/>
      <c r="C17" s="544"/>
      <c r="D17" s="506"/>
      <c r="E17" s="592"/>
      <c r="F17" s="592"/>
      <c r="G17" s="451"/>
      <c r="H17" s="588"/>
      <c r="I17" s="589"/>
    </row>
    <row r="18" spans="1:9" ht="18" customHeight="1" thickBot="1">
      <c r="A18" s="614" t="s">
        <v>85</v>
      </c>
      <c r="B18" s="615"/>
      <c r="C18" s="616"/>
      <c r="D18" s="518"/>
      <c r="E18" s="519"/>
      <c r="F18" s="519"/>
      <c r="G18" s="520"/>
      <c r="H18" s="590">
        <f>SUM(H14:I17)</f>
        <v>368</v>
      </c>
      <c r="I18" s="591"/>
    </row>
    <row r="20" spans="1:9" ht="28.5" customHeight="1">
      <c r="A20" s="398" t="s">
        <v>337</v>
      </c>
      <c r="B20" s="399"/>
      <c r="C20" s="399"/>
      <c r="D20" s="399"/>
      <c r="E20" s="399"/>
      <c r="F20" s="399"/>
      <c r="G20" s="399"/>
      <c r="H20" s="399"/>
      <c r="I20" s="399"/>
    </row>
    <row r="22" spans="1:9" ht="13.5" customHeight="1">
      <c r="A22" s="538" t="s">
        <v>49</v>
      </c>
      <c r="B22" s="598"/>
      <c r="C22" s="598"/>
      <c r="D22" s="598"/>
      <c r="E22" s="598"/>
      <c r="F22" s="598"/>
      <c r="G22" s="598"/>
      <c r="H22" s="598"/>
      <c r="I22" s="598"/>
    </row>
    <row r="23" ht="12.75">
      <c r="I23" s="2" t="s">
        <v>2</v>
      </c>
    </row>
    <row r="24" spans="1:9" ht="14.25" customHeight="1">
      <c r="A24" s="395" t="s">
        <v>256</v>
      </c>
      <c r="B24" s="418"/>
      <c r="C24" s="593"/>
      <c r="D24" s="593"/>
      <c r="E24" s="594"/>
      <c r="F24" s="382" t="s">
        <v>54</v>
      </c>
      <c r="G24" s="390"/>
      <c r="H24" s="390"/>
      <c r="I24" s="405"/>
    </row>
    <row r="25" spans="1:9" ht="32.25" customHeight="1">
      <c r="A25" s="563"/>
      <c r="B25" s="595"/>
      <c r="C25" s="421"/>
      <c r="D25" s="421"/>
      <c r="E25" s="422"/>
      <c r="F25" s="48" t="s">
        <v>51</v>
      </c>
      <c r="G25" s="48" t="s">
        <v>50</v>
      </c>
      <c r="H25" s="596" t="s">
        <v>52</v>
      </c>
      <c r="I25" s="597"/>
    </row>
    <row r="26" spans="1:9" ht="12.75">
      <c r="A26" s="642" t="s">
        <v>291</v>
      </c>
      <c r="B26" s="643"/>
      <c r="C26" s="644"/>
      <c r="D26" s="644"/>
      <c r="E26" s="645"/>
      <c r="F26" s="197">
        <v>0</v>
      </c>
      <c r="G26" s="91"/>
      <c r="H26" s="650">
        <f>F26*G26</f>
        <v>0</v>
      </c>
      <c r="I26" s="651"/>
    </row>
    <row r="27" spans="1:9" ht="12.75" customHeight="1">
      <c r="A27" s="646"/>
      <c r="B27" s="647"/>
      <c r="C27" s="648"/>
      <c r="D27" s="648"/>
      <c r="E27" s="649"/>
      <c r="F27" s="58"/>
      <c r="G27" s="61"/>
      <c r="H27" s="638">
        <f>F27*G27</f>
        <v>0</v>
      </c>
      <c r="I27" s="639"/>
    </row>
    <row r="28" spans="1:9" ht="12.75" customHeight="1">
      <c r="A28" s="646"/>
      <c r="B28" s="647"/>
      <c r="C28" s="648"/>
      <c r="D28" s="648"/>
      <c r="E28" s="649"/>
      <c r="F28" s="58"/>
      <c r="G28" s="61"/>
      <c r="H28" s="638">
        <f>F28*G28</f>
        <v>0</v>
      </c>
      <c r="I28" s="639"/>
    </row>
    <row r="29" spans="1:9" ht="12.75">
      <c r="A29" s="646"/>
      <c r="B29" s="647"/>
      <c r="C29" s="648"/>
      <c r="D29" s="648"/>
      <c r="E29" s="649"/>
      <c r="F29" s="58"/>
      <c r="G29" s="61"/>
      <c r="H29" s="638">
        <f>F29*G29</f>
        <v>0</v>
      </c>
      <c r="I29" s="639"/>
    </row>
    <row r="30" spans="1:9" ht="13.5" thickBot="1">
      <c r="A30" s="634"/>
      <c r="B30" s="635"/>
      <c r="C30" s="636"/>
      <c r="D30" s="636"/>
      <c r="E30" s="637"/>
      <c r="F30" s="60"/>
      <c r="G30" s="45"/>
      <c r="H30" s="640">
        <f>F30*G30</f>
        <v>0</v>
      </c>
      <c r="I30" s="641"/>
    </row>
    <row r="31" spans="1:9" ht="18.75" customHeight="1" thickTop="1">
      <c r="A31" s="656" t="s">
        <v>18</v>
      </c>
      <c r="B31" s="657"/>
      <c r="C31" s="658"/>
      <c r="D31" s="658"/>
      <c r="E31" s="659"/>
      <c r="F31" s="49">
        <f>SUM(F26:F30)</f>
        <v>0</v>
      </c>
      <c r="G31" s="49" t="s">
        <v>113</v>
      </c>
      <c r="H31" s="652">
        <f>SUM(H26:I30)</f>
        <v>0</v>
      </c>
      <c r="I31" s="653"/>
    </row>
    <row r="32" spans="1:9" ht="21" customHeight="1">
      <c r="A32" s="660" t="s">
        <v>172</v>
      </c>
      <c r="B32" s="661"/>
      <c r="C32" s="662"/>
      <c r="D32" s="662"/>
      <c r="E32" s="597"/>
      <c r="F32" s="97"/>
      <c r="G32" s="97"/>
      <c r="H32" s="654">
        <f>H26</f>
        <v>0</v>
      </c>
      <c r="I32" s="655"/>
    </row>
    <row r="33" spans="1:9" ht="14.25" customHeight="1">
      <c r="A33" s="51"/>
      <c r="B33" s="51"/>
      <c r="C33" s="52"/>
      <c r="D33" s="52"/>
      <c r="E33" s="52"/>
      <c r="F33" s="52"/>
      <c r="G33" s="52"/>
      <c r="H33" s="53"/>
      <c r="I33" s="52"/>
    </row>
    <row r="34" spans="1:9" ht="13.5" customHeight="1">
      <c r="A34" s="538" t="s">
        <v>53</v>
      </c>
      <c r="B34" s="598"/>
      <c r="C34" s="598"/>
      <c r="D34" s="598"/>
      <c r="E34" s="598"/>
      <c r="F34" s="598"/>
      <c r="G34" s="598"/>
      <c r="H34" s="598"/>
      <c r="I34" s="598"/>
    </row>
    <row r="35" ht="12.75">
      <c r="I35" s="2" t="s">
        <v>2</v>
      </c>
    </row>
    <row r="36" spans="1:9" ht="14.25" customHeight="1">
      <c r="A36" s="395" t="s">
        <v>256</v>
      </c>
      <c r="B36" s="418"/>
      <c r="C36" s="593"/>
      <c r="D36" s="593"/>
      <c r="E36" s="594"/>
      <c r="F36" s="382" t="s">
        <v>54</v>
      </c>
      <c r="G36" s="390"/>
      <c r="H36" s="390"/>
      <c r="I36" s="405"/>
    </row>
    <row r="37" spans="1:9" ht="32.25" customHeight="1">
      <c r="A37" s="563"/>
      <c r="B37" s="595"/>
      <c r="C37" s="421"/>
      <c r="D37" s="421"/>
      <c r="E37" s="422"/>
      <c r="F37" s="48" t="s">
        <v>51</v>
      </c>
      <c r="G37" s="48" t="s">
        <v>50</v>
      </c>
      <c r="H37" s="596" t="s">
        <v>52</v>
      </c>
      <c r="I37" s="597"/>
    </row>
    <row r="38" spans="1:9" ht="12.75">
      <c r="A38" s="646" t="s">
        <v>261</v>
      </c>
      <c r="B38" s="647"/>
      <c r="C38" s="648"/>
      <c r="D38" s="648"/>
      <c r="E38" s="649"/>
      <c r="F38" s="58">
        <v>0</v>
      </c>
      <c r="G38" s="61">
        <v>2700</v>
      </c>
      <c r="H38" s="638">
        <f aca="true" t="shared" si="0" ref="H38:H43">F38*G38</f>
        <v>0</v>
      </c>
      <c r="I38" s="639"/>
    </row>
    <row r="39" spans="1:9" ht="12.75" customHeight="1">
      <c r="A39" s="646" t="s">
        <v>293</v>
      </c>
      <c r="B39" s="647"/>
      <c r="C39" s="648"/>
      <c r="D39" s="648"/>
      <c r="E39" s="649"/>
      <c r="F39" s="58">
        <v>0</v>
      </c>
      <c r="G39" s="61">
        <v>800</v>
      </c>
      <c r="H39" s="638">
        <f t="shared" si="0"/>
        <v>0</v>
      </c>
      <c r="I39" s="639"/>
    </row>
    <row r="40" spans="1:9" ht="12.75" customHeight="1">
      <c r="A40" s="646"/>
      <c r="B40" s="647"/>
      <c r="C40" s="648"/>
      <c r="D40" s="648"/>
      <c r="E40" s="649"/>
      <c r="F40" s="58"/>
      <c r="G40" s="61"/>
      <c r="H40" s="638">
        <f t="shared" si="0"/>
        <v>0</v>
      </c>
      <c r="I40" s="639"/>
    </row>
    <row r="41" spans="1:9" ht="12" customHeight="1">
      <c r="A41" s="646"/>
      <c r="B41" s="647"/>
      <c r="C41" s="648"/>
      <c r="D41" s="648"/>
      <c r="E41" s="649"/>
      <c r="F41" s="58"/>
      <c r="G41" s="61"/>
      <c r="H41" s="638">
        <f t="shared" si="0"/>
        <v>0</v>
      </c>
      <c r="I41" s="639"/>
    </row>
    <row r="42" spans="1:9" ht="12.75">
      <c r="A42" s="646"/>
      <c r="B42" s="647"/>
      <c r="C42" s="648"/>
      <c r="D42" s="648"/>
      <c r="E42" s="649"/>
      <c r="F42" s="58"/>
      <c r="G42" s="61"/>
      <c r="H42" s="638">
        <f t="shared" si="0"/>
        <v>0</v>
      </c>
      <c r="I42" s="639"/>
    </row>
    <row r="43" spans="1:9" ht="13.5" thickBot="1">
      <c r="A43" s="634"/>
      <c r="B43" s="635"/>
      <c r="C43" s="636"/>
      <c r="D43" s="636"/>
      <c r="E43" s="637"/>
      <c r="F43" s="60"/>
      <c r="G43" s="45"/>
      <c r="H43" s="640">
        <f t="shared" si="0"/>
        <v>0</v>
      </c>
      <c r="I43" s="641"/>
    </row>
    <row r="44" spans="1:9" ht="18.75" customHeight="1" thickTop="1">
      <c r="A44" s="656" t="s">
        <v>18</v>
      </c>
      <c r="B44" s="657"/>
      <c r="C44" s="658"/>
      <c r="D44" s="658"/>
      <c r="E44" s="659"/>
      <c r="F44" s="49">
        <f>SUM(F38:F43)</f>
        <v>0</v>
      </c>
      <c r="G44" s="49" t="s">
        <v>113</v>
      </c>
      <c r="H44" s="652">
        <f>SUM(H38:I43)</f>
        <v>0</v>
      </c>
      <c r="I44" s="653"/>
    </row>
    <row r="45" spans="1:9" ht="16.5" customHeight="1">
      <c r="A45" s="660" t="s">
        <v>172</v>
      </c>
      <c r="B45" s="661"/>
      <c r="C45" s="662"/>
      <c r="D45" s="662"/>
      <c r="E45" s="597"/>
      <c r="F45" s="97"/>
      <c r="G45" s="97"/>
      <c r="H45" s="654">
        <v>0</v>
      </c>
      <c r="I45" s="655"/>
    </row>
  </sheetData>
  <sheetProtection/>
  <mergeCells count="80">
    <mergeCell ref="A45:E45"/>
    <mergeCell ref="H45:I45"/>
    <mergeCell ref="A42:E42"/>
    <mergeCell ref="H42:I42"/>
    <mergeCell ref="A43:E43"/>
    <mergeCell ref="H43:I43"/>
    <mergeCell ref="A44:E44"/>
    <mergeCell ref="H44:I44"/>
    <mergeCell ref="A39:E39"/>
    <mergeCell ref="H39:I39"/>
    <mergeCell ref="A41:E41"/>
    <mergeCell ref="A40:E40"/>
    <mergeCell ref="H40:I40"/>
    <mergeCell ref="H41:I41"/>
    <mergeCell ref="A36:E37"/>
    <mergeCell ref="H37:I37"/>
    <mergeCell ref="F36:I36"/>
    <mergeCell ref="A31:E31"/>
    <mergeCell ref="A32:E32"/>
    <mergeCell ref="A38:E38"/>
    <mergeCell ref="H38:I38"/>
    <mergeCell ref="A28:E28"/>
    <mergeCell ref="A29:E29"/>
    <mergeCell ref="H26:I26"/>
    <mergeCell ref="H27:I27"/>
    <mergeCell ref="H28:I28"/>
    <mergeCell ref="A34:I34"/>
    <mergeCell ref="H31:I31"/>
    <mergeCell ref="H32:I32"/>
    <mergeCell ref="A8:C8"/>
    <mergeCell ref="D8:G8"/>
    <mergeCell ref="H8:I8"/>
    <mergeCell ref="A9:C9"/>
    <mergeCell ref="D9:G9"/>
    <mergeCell ref="A30:E30"/>
    <mergeCell ref="H29:I29"/>
    <mergeCell ref="H30:I30"/>
    <mergeCell ref="A26:E26"/>
    <mergeCell ref="A27:E27"/>
    <mergeCell ref="A18:C18"/>
    <mergeCell ref="A7:C7"/>
    <mergeCell ref="D7:G7"/>
    <mergeCell ref="H7:I7"/>
    <mergeCell ref="A16:C16"/>
    <mergeCell ref="H14:I14"/>
    <mergeCell ref="H15:I15"/>
    <mergeCell ref="H16:I16"/>
    <mergeCell ref="D15:G15"/>
    <mergeCell ref="H9:I9"/>
    <mergeCell ref="A5:C5"/>
    <mergeCell ref="D5:G5"/>
    <mergeCell ref="H5:I5"/>
    <mergeCell ref="A6:C6"/>
    <mergeCell ref="D6:G6"/>
    <mergeCell ref="H6:I6"/>
    <mergeCell ref="A4:C4"/>
    <mergeCell ref="D4:G4"/>
    <mergeCell ref="H4:I4"/>
    <mergeCell ref="A1:I1"/>
    <mergeCell ref="A3:C3"/>
    <mergeCell ref="D3:G3"/>
    <mergeCell ref="H3:I3"/>
    <mergeCell ref="F24:I24"/>
    <mergeCell ref="A17:C17"/>
    <mergeCell ref="A20:I20"/>
    <mergeCell ref="D18:G18"/>
    <mergeCell ref="H17:I17"/>
    <mergeCell ref="H18:I18"/>
    <mergeCell ref="D17:G17"/>
    <mergeCell ref="A24:E25"/>
    <mergeCell ref="H25:I25"/>
    <mergeCell ref="A22:I22"/>
    <mergeCell ref="D16:G16"/>
    <mergeCell ref="A11:I11"/>
    <mergeCell ref="A13:C13"/>
    <mergeCell ref="D13:G13"/>
    <mergeCell ref="A15:C15"/>
    <mergeCell ref="D14:G14"/>
    <mergeCell ref="A14:C14"/>
    <mergeCell ref="H13:I13"/>
  </mergeCells>
  <printOptions/>
  <pageMargins left="0.65" right="0.18" top="0.5" bottom="0.42" header="0.43" footer="0.3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SheetLayoutView="75" zoomScalePageLayoutView="0" workbookViewId="0" topLeftCell="A1">
      <selection activeCell="I11" sqref="I11"/>
    </sheetView>
  </sheetViews>
  <sheetFormatPr defaultColWidth="9.00390625" defaultRowHeight="12.75"/>
  <cols>
    <col min="2" max="2" width="11.25390625" style="0" customWidth="1"/>
    <col min="3" max="3" width="9.75390625" style="0" customWidth="1"/>
    <col min="6" max="6" width="10.25390625" style="0" customWidth="1"/>
    <col min="7" max="7" width="9.75390625" style="0" customWidth="1"/>
    <col min="8" max="8" width="14.25390625" style="0" customWidth="1"/>
  </cols>
  <sheetData>
    <row r="1" spans="1:8" ht="13.5" customHeight="1">
      <c r="A1" s="538" t="s">
        <v>55</v>
      </c>
      <c r="B1" s="598"/>
      <c r="C1" s="598"/>
      <c r="D1" s="598"/>
      <c r="E1" s="598"/>
      <c r="F1" s="598"/>
      <c r="G1" s="598"/>
      <c r="H1" s="598"/>
    </row>
    <row r="2" spans="1:8" ht="13.5" customHeight="1">
      <c r="A2" s="538" t="s">
        <v>56</v>
      </c>
      <c r="B2" s="598"/>
      <c r="C2" s="598"/>
      <c r="D2" s="598"/>
      <c r="E2" s="598"/>
      <c r="F2" s="598"/>
      <c r="G2" s="598"/>
      <c r="H2" s="598"/>
    </row>
    <row r="4" spans="1:8" ht="18" customHeight="1">
      <c r="A4" s="395" t="s">
        <v>256</v>
      </c>
      <c r="B4" s="418"/>
      <c r="C4" s="593"/>
      <c r="D4" s="593"/>
      <c r="E4" s="594"/>
      <c r="F4" s="382" t="s">
        <v>54</v>
      </c>
      <c r="G4" s="390"/>
      <c r="H4" s="383"/>
    </row>
    <row r="5" spans="1:8" ht="19.5" customHeight="1">
      <c r="A5" s="563"/>
      <c r="B5" s="595"/>
      <c r="C5" s="421"/>
      <c r="D5" s="421"/>
      <c r="E5" s="422"/>
      <c r="F5" s="48" t="s">
        <v>51</v>
      </c>
      <c r="G5" s="48" t="s">
        <v>50</v>
      </c>
      <c r="H5" s="48" t="s">
        <v>52</v>
      </c>
    </row>
    <row r="6" spans="1:9" ht="15.75" customHeight="1">
      <c r="A6" s="407" t="s">
        <v>260</v>
      </c>
      <c r="B6" s="408"/>
      <c r="C6" s="690"/>
      <c r="D6" s="690"/>
      <c r="E6" s="691"/>
      <c r="F6" s="90">
        <v>2</v>
      </c>
      <c r="G6" s="91">
        <v>2000</v>
      </c>
      <c r="H6" s="92">
        <f aca="true" t="shared" si="0" ref="H6:H12">F6*G6</f>
        <v>4000</v>
      </c>
      <c r="I6">
        <v>244</v>
      </c>
    </row>
    <row r="7" spans="1:9" ht="15.75" customHeight="1">
      <c r="A7" s="407" t="s">
        <v>43</v>
      </c>
      <c r="B7" s="408"/>
      <c r="C7" s="690"/>
      <c r="D7" s="690"/>
      <c r="E7" s="691"/>
      <c r="F7" s="90">
        <v>1</v>
      </c>
      <c r="G7" s="91">
        <v>10000</v>
      </c>
      <c r="H7" s="92">
        <f t="shared" si="0"/>
        <v>10000</v>
      </c>
      <c r="I7">
        <v>244</v>
      </c>
    </row>
    <row r="8" spans="1:9" ht="15.75" customHeight="1">
      <c r="A8" s="407" t="s">
        <v>174</v>
      </c>
      <c r="B8" s="408"/>
      <c r="C8" s="690"/>
      <c r="D8" s="690"/>
      <c r="E8" s="691"/>
      <c r="F8" s="90">
        <v>128</v>
      </c>
      <c r="G8" s="198">
        <v>274.21875</v>
      </c>
      <c r="H8" s="92">
        <f t="shared" si="0"/>
        <v>35100</v>
      </c>
      <c r="I8">
        <v>244</v>
      </c>
    </row>
    <row r="9" spans="1:9" ht="15.75" customHeight="1">
      <c r="A9" s="407" t="s">
        <v>340</v>
      </c>
      <c r="B9" s="408"/>
      <c r="C9" s="690"/>
      <c r="D9" s="690"/>
      <c r="E9" s="691"/>
      <c r="F9" s="90">
        <v>3</v>
      </c>
      <c r="G9" s="198">
        <v>500</v>
      </c>
      <c r="H9" s="92">
        <f>F9*G9</f>
        <v>1500</v>
      </c>
      <c r="I9">
        <v>244</v>
      </c>
    </row>
    <row r="10" spans="1:9" ht="15.75" customHeight="1">
      <c r="A10" s="407" t="s">
        <v>299</v>
      </c>
      <c r="B10" s="408"/>
      <c r="C10" s="690"/>
      <c r="D10" s="690"/>
      <c r="E10" s="691"/>
      <c r="F10" s="90">
        <v>2</v>
      </c>
      <c r="G10" s="198">
        <v>3000</v>
      </c>
      <c r="H10" s="92">
        <f t="shared" si="0"/>
        <v>6000</v>
      </c>
      <c r="I10">
        <v>244</v>
      </c>
    </row>
    <row r="11" spans="1:8" ht="15.75" customHeight="1">
      <c r="A11" s="688" t="s">
        <v>262</v>
      </c>
      <c r="B11" s="689"/>
      <c r="C11" s="690"/>
      <c r="D11" s="690"/>
      <c r="E11" s="691"/>
      <c r="F11" s="57">
        <v>0</v>
      </c>
      <c r="G11" s="61">
        <v>450</v>
      </c>
      <c r="H11" s="64">
        <f t="shared" si="0"/>
        <v>0</v>
      </c>
    </row>
    <row r="12" spans="1:8" ht="15.75" customHeight="1">
      <c r="A12" s="688" t="s">
        <v>263</v>
      </c>
      <c r="B12" s="689"/>
      <c r="C12" s="690"/>
      <c r="D12" s="690"/>
      <c r="E12" s="691"/>
      <c r="F12" s="57">
        <v>0</v>
      </c>
      <c r="G12" s="189">
        <v>1500</v>
      </c>
      <c r="H12" s="64">
        <f t="shared" si="0"/>
        <v>0</v>
      </c>
    </row>
    <row r="13" spans="1:8" ht="12.75">
      <c r="A13" s="692"/>
      <c r="B13" s="693"/>
      <c r="C13" s="694"/>
      <c r="D13" s="694"/>
      <c r="E13" s="695"/>
      <c r="F13" s="57"/>
      <c r="G13" s="61"/>
      <c r="H13" s="64"/>
    </row>
    <row r="14" spans="1:8" ht="13.5" thickBot="1">
      <c r="A14" s="697"/>
      <c r="B14" s="698"/>
      <c r="C14" s="699"/>
      <c r="D14" s="699"/>
      <c r="E14" s="700"/>
      <c r="F14" s="59"/>
      <c r="G14" s="62"/>
      <c r="H14" s="67"/>
    </row>
    <row r="15" spans="1:8" ht="20.25" customHeight="1" thickTop="1">
      <c r="A15" s="656" t="s">
        <v>18</v>
      </c>
      <c r="B15" s="657"/>
      <c r="C15" s="658"/>
      <c r="D15" s="658"/>
      <c r="E15" s="659"/>
      <c r="F15" s="49">
        <f>SUM(F6:F14)</f>
        <v>136</v>
      </c>
      <c r="G15" s="49" t="s">
        <v>113</v>
      </c>
      <c r="H15" s="66">
        <f>SUM(H6:H14)</f>
        <v>56600</v>
      </c>
    </row>
    <row r="16" spans="1:8" ht="18" customHeight="1" thickBot="1">
      <c r="A16" s="677" t="s">
        <v>172</v>
      </c>
      <c r="B16" s="678"/>
      <c r="C16" s="679"/>
      <c r="D16" s="679"/>
      <c r="E16" s="680"/>
      <c r="F16" s="93"/>
      <c r="G16" s="93"/>
      <c r="H16" s="94">
        <f>SUM(H6:H10)</f>
        <v>56600</v>
      </c>
    </row>
    <row r="17" spans="1:8" ht="22.5" customHeight="1">
      <c r="A17" s="684" t="s">
        <v>86</v>
      </c>
      <c r="B17" s="685"/>
      <c r="C17" s="686"/>
      <c r="D17" s="686"/>
      <c r="E17" s="687"/>
      <c r="F17" s="54"/>
      <c r="G17" s="54"/>
      <c r="H17" s="68">
        <f>H15+'262-310'!H44+'262-310'!H31</f>
        <v>56600</v>
      </c>
    </row>
    <row r="18" spans="1:8" ht="18" customHeight="1" thickBot="1">
      <c r="A18" s="696" t="s">
        <v>172</v>
      </c>
      <c r="B18" s="678"/>
      <c r="C18" s="679"/>
      <c r="D18" s="679"/>
      <c r="E18" s="680"/>
      <c r="F18" s="95"/>
      <c r="G18" s="95"/>
      <c r="H18" s="96">
        <f>H16+'262-310'!H42+'262-310'!H32</f>
        <v>56600</v>
      </c>
    </row>
    <row r="19" spans="1:8" ht="12.75" customHeight="1">
      <c r="A19" s="51"/>
      <c r="B19" s="51"/>
      <c r="C19" s="52"/>
      <c r="D19" s="52"/>
      <c r="E19" s="52"/>
      <c r="F19" s="52"/>
      <c r="G19" s="52"/>
      <c r="H19" s="53"/>
    </row>
    <row r="20" spans="1:8" ht="24.75" customHeight="1">
      <c r="A20" s="398" t="s">
        <v>338</v>
      </c>
      <c r="B20" s="496"/>
      <c r="C20" s="496"/>
      <c r="D20" s="496"/>
      <c r="E20" s="496"/>
      <c r="F20" s="496"/>
      <c r="G20" s="496"/>
      <c r="H20" s="496"/>
    </row>
    <row r="21" spans="1:8" ht="10.5" customHeight="1">
      <c r="A21" s="17"/>
      <c r="B21" s="16"/>
      <c r="C21" s="16"/>
      <c r="D21" s="16"/>
      <c r="E21" s="16"/>
      <c r="F21" s="16"/>
      <c r="G21" s="16"/>
      <c r="H21" s="16"/>
    </row>
    <row r="22" spans="1:8" ht="13.5" customHeight="1">
      <c r="A22" s="538" t="s">
        <v>57</v>
      </c>
      <c r="B22" s="598"/>
      <c r="C22" s="598"/>
      <c r="D22" s="598"/>
      <c r="E22" s="598"/>
      <c r="F22" s="598"/>
      <c r="G22" s="598"/>
      <c r="H22" s="598"/>
    </row>
    <row r="23" ht="12.75">
      <c r="G23" s="5"/>
    </row>
    <row r="24" spans="1:8" ht="24.75" customHeight="1">
      <c r="A24" s="382" t="s">
        <v>58</v>
      </c>
      <c r="B24" s="390"/>
      <c r="C24" s="383"/>
      <c r="D24" s="382" t="s">
        <v>59</v>
      </c>
      <c r="E24" s="390"/>
      <c r="F24" s="390"/>
      <c r="G24" s="383"/>
      <c r="H24" s="166" t="s">
        <v>3</v>
      </c>
    </row>
    <row r="25" spans="1:8" ht="17.25" customHeight="1">
      <c r="A25" s="681" t="s">
        <v>60</v>
      </c>
      <c r="B25" s="682"/>
      <c r="C25" s="683"/>
      <c r="D25" s="573" t="s">
        <v>64</v>
      </c>
      <c r="E25" s="574"/>
      <c r="F25" s="574"/>
      <c r="G25" s="575"/>
      <c r="H25" s="187">
        <v>500</v>
      </c>
    </row>
    <row r="26" spans="1:8" s="188" customFormat="1" ht="17.25" customHeight="1">
      <c r="A26" s="500" t="s">
        <v>60</v>
      </c>
      <c r="B26" s="501"/>
      <c r="C26" s="502"/>
      <c r="D26" s="512" t="s">
        <v>64</v>
      </c>
      <c r="E26" s="632"/>
      <c r="F26" s="632"/>
      <c r="G26" s="633"/>
      <c r="H26" s="167"/>
    </row>
    <row r="27" spans="1:8" ht="13.5" thickBot="1">
      <c r="A27" s="674"/>
      <c r="B27" s="675"/>
      <c r="C27" s="676"/>
      <c r="D27" s="556"/>
      <c r="E27" s="636"/>
      <c r="F27" s="636"/>
      <c r="G27" s="637"/>
      <c r="H27" s="168"/>
    </row>
    <row r="28" spans="1:8" ht="18" customHeight="1" thickTop="1">
      <c r="A28" s="548" t="s">
        <v>18</v>
      </c>
      <c r="B28" s="549"/>
      <c r="C28" s="550"/>
      <c r="D28" s="551"/>
      <c r="E28" s="370"/>
      <c r="F28" s="370"/>
      <c r="G28" s="673"/>
      <c r="H28" s="169">
        <f>H25+H26+H27</f>
        <v>500</v>
      </c>
    </row>
    <row r="29" spans="1:8" ht="12.75">
      <c r="A29" s="24"/>
      <c r="B29" s="24"/>
      <c r="C29" s="24"/>
      <c r="D29" s="18"/>
      <c r="E29" s="22"/>
      <c r="F29" s="22"/>
      <c r="G29" s="22"/>
      <c r="H29" s="22"/>
    </row>
    <row r="30" spans="1:8" ht="13.5" customHeight="1">
      <c r="A30" s="538" t="s">
        <v>153</v>
      </c>
      <c r="B30" s="672"/>
      <c r="C30" s="672"/>
      <c r="D30" s="672"/>
      <c r="E30" s="672"/>
      <c r="F30" s="672"/>
      <c r="G30" s="672"/>
      <c r="H30" s="672"/>
    </row>
    <row r="31" ht="12" customHeight="1"/>
    <row r="32" spans="1:8" ht="27" customHeight="1">
      <c r="A32" s="382" t="s">
        <v>58</v>
      </c>
      <c r="B32" s="390"/>
      <c r="C32" s="383"/>
      <c r="D32" s="382" t="s">
        <v>59</v>
      </c>
      <c r="E32" s="390"/>
      <c r="F32" s="390"/>
      <c r="G32" s="383"/>
      <c r="H32" s="166" t="s">
        <v>3</v>
      </c>
    </row>
    <row r="33" spans="1:8" ht="26.25" customHeight="1">
      <c r="A33" s="663" t="s">
        <v>296</v>
      </c>
      <c r="B33" s="664"/>
      <c r="C33" s="665"/>
      <c r="D33" s="666" t="s">
        <v>355</v>
      </c>
      <c r="E33" s="667"/>
      <c r="F33" s="667"/>
      <c r="G33" s="668"/>
      <c r="H33" s="251">
        <f>титул!G15*175*12*1.065</f>
        <v>10437</v>
      </c>
    </row>
    <row r="34" spans="1:8" ht="12.75">
      <c r="A34" s="669"/>
      <c r="B34" s="670"/>
      <c r="C34" s="671"/>
      <c r="D34" s="515"/>
      <c r="E34" s="648"/>
      <c r="F34" s="648"/>
      <c r="G34" s="649"/>
      <c r="H34" s="167"/>
    </row>
    <row r="35" spans="1:8" ht="13.5" thickBot="1">
      <c r="A35" s="674"/>
      <c r="B35" s="675"/>
      <c r="C35" s="676"/>
      <c r="D35" s="556"/>
      <c r="E35" s="636"/>
      <c r="F35" s="636"/>
      <c r="G35" s="637"/>
      <c r="H35" s="168"/>
    </row>
    <row r="36" spans="1:8" ht="18" customHeight="1" thickTop="1">
      <c r="A36" s="548" t="s">
        <v>18</v>
      </c>
      <c r="B36" s="549"/>
      <c r="C36" s="550"/>
      <c r="D36" s="551"/>
      <c r="E36" s="370"/>
      <c r="F36" s="370"/>
      <c r="G36" s="673"/>
      <c r="H36" s="169">
        <f>H33+H34+H35</f>
        <v>10437</v>
      </c>
    </row>
    <row r="38" spans="1:8" ht="12.75">
      <c r="A38" s="538" t="s">
        <v>61</v>
      </c>
      <c r="B38" s="598"/>
      <c r="C38" s="598"/>
      <c r="D38" s="598"/>
      <c r="E38" s="598"/>
      <c r="F38" s="598"/>
      <c r="G38" s="598"/>
      <c r="H38" s="598"/>
    </row>
    <row r="40" spans="1:8" ht="12.75" customHeight="1">
      <c r="A40" s="395" t="s">
        <v>256</v>
      </c>
      <c r="B40" s="418"/>
      <c r="C40" s="593"/>
      <c r="D40" s="593"/>
      <c r="E40" s="594"/>
      <c r="F40" s="382" t="s">
        <v>54</v>
      </c>
      <c r="G40" s="390"/>
      <c r="H40" s="383"/>
    </row>
    <row r="41" spans="1:8" ht="21" customHeight="1">
      <c r="A41" s="563"/>
      <c r="B41" s="595"/>
      <c r="C41" s="421"/>
      <c r="D41" s="421"/>
      <c r="E41" s="422"/>
      <c r="F41" s="48" t="s">
        <v>51</v>
      </c>
      <c r="G41" s="48" t="s">
        <v>50</v>
      </c>
      <c r="H41" s="48" t="s">
        <v>52</v>
      </c>
    </row>
    <row r="42" spans="1:8" ht="15" customHeight="1">
      <c r="A42" s="646" t="s">
        <v>175</v>
      </c>
      <c r="B42" s="648"/>
      <c r="C42" s="648"/>
      <c r="D42" s="648"/>
      <c r="E42" s="649"/>
      <c r="F42" s="57"/>
      <c r="G42" s="61"/>
      <c r="H42" s="64">
        <f aca="true" t="shared" si="1" ref="H42:H47">F42*G42</f>
        <v>0</v>
      </c>
    </row>
    <row r="43" spans="1:8" ht="15" customHeight="1">
      <c r="A43" s="646" t="s">
        <v>62</v>
      </c>
      <c r="B43" s="648"/>
      <c r="C43" s="648"/>
      <c r="D43" s="648"/>
      <c r="E43" s="649"/>
      <c r="F43" s="57">
        <v>0</v>
      </c>
      <c r="G43" s="61">
        <v>300</v>
      </c>
      <c r="H43" s="64">
        <f t="shared" si="1"/>
        <v>0</v>
      </c>
    </row>
    <row r="44" spans="1:8" ht="15" customHeight="1">
      <c r="A44" s="646" t="s">
        <v>176</v>
      </c>
      <c r="B44" s="648"/>
      <c r="C44" s="648"/>
      <c r="D44" s="648"/>
      <c r="E44" s="649"/>
      <c r="F44" s="57">
        <v>0</v>
      </c>
      <c r="G44" s="61">
        <v>150</v>
      </c>
      <c r="H44" s="64">
        <f t="shared" si="1"/>
        <v>0</v>
      </c>
    </row>
    <row r="45" spans="1:8" ht="15" customHeight="1">
      <c r="A45" s="646" t="s">
        <v>177</v>
      </c>
      <c r="B45" s="648"/>
      <c r="C45" s="648"/>
      <c r="D45" s="648"/>
      <c r="E45" s="649"/>
      <c r="F45" s="57">
        <v>3</v>
      </c>
      <c r="G45" s="61">
        <v>600</v>
      </c>
      <c r="H45" s="64">
        <f t="shared" si="1"/>
        <v>1800</v>
      </c>
    </row>
    <row r="46" spans="1:8" ht="15" customHeight="1">
      <c r="A46" s="646" t="s">
        <v>88</v>
      </c>
      <c r="B46" s="648"/>
      <c r="C46" s="648"/>
      <c r="D46" s="648"/>
      <c r="E46" s="649"/>
      <c r="F46" s="57">
        <v>0</v>
      </c>
      <c r="G46" s="61">
        <v>100</v>
      </c>
      <c r="H46" s="64">
        <f t="shared" si="1"/>
        <v>0</v>
      </c>
    </row>
    <row r="47" spans="1:8" ht="15" customHeight="1">
      <c r="A47" s="646" t="s">
        <v>178</v>
      </c>
      <c r="B47" s="648"/>
      <c r="C47" s="648"/>
      <c r="D47" s="648"/>
      <c r="E47" s="649"/>
      <c r="F47" s="57">
        <v>20</v>
      </c>
      <c r="G47" s="61">
        <v>20</v>
      </c>
      <c r="H47" s="64">
        <f t="shared" si="1"/>
        <v>400</v>
      </c>
    </row>
    <row r="48" spans="1:8" ht="13.5" thickBot="1">
      <c r="A48" s="634"/>
      <c r="B48" s="636"/>
      <c r="C48" s="636"/>
      <c r="D48" s="636"/>
      <c r="E48" s="637"/>
      <c r="F48" s="11"/>
      <c r="G48" s="63"/>
      <c r="H48" s="65">
        <f>F48*G48</f>
        <v>0</v>
      </c>
    </row>
    <row r="49" spans="1:8" ht="18.75" customHeight="1" thickTop="1">
      <c r="A49" s="656" t="s">
        <v>18</v>
      </c>
      <c r="B49" s="657"/>
      <c r="C49" s="658"/>
      <c r="D49" s="658"/>
      <c r="E49" s="659"/>
      <c r="F49" s="49">
        <f>SUM(F42:F48)</f>
        <v>23</v>
      </c>
      <c r="G49" s="49" t="s">
        <v>113</v>
      </c>
      <c r="H49" s="66">
        <f>SUM(H42:H48)</f>
        <v>2200</v>
      </c>
    </row>
  </sheetData>
  <sheetProtection/>
  <mergeCells count="51">
    <mergeCell ref="A7:E7"/>
    <mergeCell ref="A8:E8"/>
    <mergeCell ref="A14:E14"/>
    <mergeCell ref="A10:E10"/>
    <mergeCell ref="A9:E9"/>
    <mergeCell ref="A1:H1"/>
    <mergeCell ref="A2:H2"/>
    <mergeCell ref="F4:H4"/>
    <mergeCell ref="A20:H20"/>
    <mergeCell ref="A4:E5"/>
    <mergeCell ref="A12:E12"/>
    <mergeCell ref="A11:E11"/>
    <mergeCell ref="A13:E13"/>
    <mergeCell ref="A6:E6"/>
    <mergeCell ref="A18:E18"/>
    <mergeCell ref="A15:E15"/>
    <mergeCell ref="A16:E16"/>
    <mergeCell ref="A27:C27"/>
    <mergeCell ref="A25:C25"/>
    <mergeCell ref="D25:G25"/>
    <mergeCell ref="A26:C26"/>
    <mergeCell ref="D26:G26"/>
    <mergeCell ref="D27:G27"/>
    <mergeCell ref="A17:E17"/>
    <mergeCell ref="A44:E44"/>
    <mergeCell ref="A40:E41"/>
    <mergeCell ref="A42:E42"/>
    <mergeCell ref="A24:C24"/>
    <mergeCell ref="D24:G24"/>
    <mergeCell ref="A35:C35"/>
    <mergeCell ref="D35:G35"/>
    <mergeCell ref="A36:C36"/>
    <mergeCell ref="D36:G36"/>
    <mergeCell ref="A43:E43"/>
    <mergeCell ref="A49:E49"/>
    <mergeCell ref="A22:H22"/>
    <mergeCell ref="A30:H30"/>
    <mergeCell ref="A48:E48"/>
    <mergeCell ref="A28:C28"/>
    <mergeCell ref="D28:G28"/>
    <mergeCell ref="A47:E47"/>
    <mergeCell ref="A46:E46"/>
    <mergeCell ref="A45:E45"/>
    <mergeCell ref="A32:C32"/>
    <mergeCell ref="A38:H38"/>
    <mergeCell ref="F40:H40"/>
    <mergeCell ref="D32:G32"/>
    <mergeCell ref="A33:C33"/>
    <mergeCell ref="D33:G33"/>
    <mergeCell ref="A34:C34"/>
    <mergeCell ref="D34:G34"/>
  </mergeCells>
  <printOptions/>
  <pageMargins left="0.65" right="0.18" top="0.41" bottom="0.34" header="0.38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в</cp:lastModifiedBy>
  <cp:lastPrinted>2014-12-17T09:46:37Z</cp:lastPrinted>
  <dcterms:created xsi:type="dcterms:W3CDTF">2008-04-09T06:59:01Z</dcterms:created>
  <dcterms:modified xsi:type="dcterms:W3CDTF">2014-12-26T11:40:03Z</dcterms:modified>
  <cp:category/>
  <cp:version/>
  <cp:contentType/>
  <cp:contentStatus/>
</cp:coreProperties>
</file>